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5'!$A$1:$F$159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<sst xmlns="http://schemas.openxmlformats.org/spreadsheetml/2006/main" count="1994" uniqueCount="692">
  <si>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</si>
  <si>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</si>
  <si>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</si>
  <si>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</si>
  <si>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</si>
  <si>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</si>
  <si>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</si>
  <si>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</si>
  <si>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</si>
  <si>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</si>
  <si>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</si>
  <si>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</si>
  <si>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</si>
  <si>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</si>
  <si>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</si>
  <si>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</si>
  <si>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</si>
  <si>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</si>
  <si>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</si>
  <si>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</si>
  <si>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</si>
  <si>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</si>
  <si>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</si>
  <si>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</si>
  <si>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</si>
  <si>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</si>
  <si>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</si>
  <si>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</si>
  <si>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</si>
  <si>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</si>
  <si>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</si>
  <si>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</si>
  <si>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</si>
  <si>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</si>
  <si>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</si>
  <si>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</si>
  <si>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</si>
  <si>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</si>
  <si>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</si>
  <si>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</si>
  <si>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</si>
  <si>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</si>
  <si>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</si>
  <si>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</si>
  <si>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</si>
  <si>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</si>
  <si>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</si>
  <si>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</si>
  <si>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</si>
  <si>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</si>
  <si>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</si>
  <si>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</si>
  <si>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</si>
  <si>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</si>
  <si>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</si>
  <si>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</si>
  <si>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</si>
  <si>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</si>
  <si>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</si>
  <si>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</si>
  <si>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</si>
  <si>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</si>
  <si>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</si>
  <si>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</si>
  <si>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</si>
  <si>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</si>
  <si>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</si>
  <si>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</si>
  <si>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</si>
  <si>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</si>
  <si>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</si>
  <si>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</si>
  <si>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</si>
  <si>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</si>
  <si>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</si>
  <si>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</si>
  <si>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</si>
  <si>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</si>
  <si>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</si>
  <si>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</si>
  <si>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</si>
  <si>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</si>
  <si>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</si>
  <si>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</si>
  <si>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</si>
  <si>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</si>
  <si>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</si>
  <si>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</si>
  <si>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</si>
  <si>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</si>
  <si>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</si>
  <si>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</si>
  <si>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</si>
  <si>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</si>
  <si>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</si>
  <si>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</si>
  <si>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</si>
  <si>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</si>
  <si>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</si>
  <si>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</si>
  <si>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</si>
  <si>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</si>
  <si>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</si>
  <si>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</si>
  <si>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</si>
  <si>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</si>
  <si>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</si>
  <si>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</si>
  <si>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</si>
  <si>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</si>
  <si>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</si>
  <si>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</si>
  <si>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</si>
  <si>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</si>
  <si>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</si>
  <si>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</si>
  <si>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</si>
  <si>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</si>
  <si>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</si>
  <si>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</si>
  <si>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</si>
  <si>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</si>
  <si>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</si>
  <si>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</si>
  <si>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</si>
  <si>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</si>
  <si>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</si>
  <si>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</si>
  <si>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</si>
  <si>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</si>
  <si>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</si>
  <si>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</si>
  <si>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</si>
  <si>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</si>
  <si>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</si>
  <si>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</si>
  <si>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</si>
  <si>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</si>
  <si>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</si>
  <si>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</si>
  <si>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</si>
  <si>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</si>
  <si>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</si>
  <si>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</si>
  <si>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</si>
  <si>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</si>
  <si>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</si>
  <si>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</si>
  <si>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</si>
  <si>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</si>
  <si>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</si>
  <si>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</si>
  <si>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</si>
  <si>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</si>
  <si>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</si>
  <si>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</si>
  <si>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</si>
  <si>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</si>
  <si>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</si>
  <si>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</si>
  <si>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</si>
  <si>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</si>
  <si>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</si>
  <si>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</si>
  <si>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</si>
  <si>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</si>
  <si>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</si>
  <si>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</si>
  <si>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</si>
  <si>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</si>
  <si>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</si>
  <si>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</si>
  <si>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</si>
  <si>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</si>
  <si>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</si>
  <si>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</si>
  <si>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</si>
  <si>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</si>
  <si>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</si>
  <si>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</si>
  <si>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</si>
  <si>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</si>
  <si>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</si>
  <si>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</si>
  <si>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</si>
  <si>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</si>
  <si>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</si>
  <si>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</si>
  <si>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</si>
  <si>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</si>
  <si>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</si>
  <si>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</si>
  <si>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</si>
  <si>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</si>
  <si>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</si>
  <si>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</si>
  <si>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</si>
  <si>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</si>
  <si>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</si>
  <si>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</si>
  <si>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</si>
  <si>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</si>
  <si>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</si>
  <si>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</si>
  <si>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</si>
  <si>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</si>
  <si>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</si>
  <si>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</si>
  <si>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</si>
  <si>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</si>
  <si>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</si>
  <si>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</si>
  <si>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</si>
  <si>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</si>
  <si>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</si>
  <si>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</si>
  <si>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</si>
  <si>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</si>
  <si>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</si>
  <si>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</si>
  <si>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</si>
  <si>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</si>
  <si>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</si>
  <si>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</si>
  <si>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</si>
  <si>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</si>
  <si>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</si>
  <si>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</si>
  <si>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</si>
  <si>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</si>
  <si>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</si>
  <si>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</si>
  <si>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</si>
  <si>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</si>
  <si>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</si>
  <si>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</si>
  <si>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</si>
  <si>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</si>
  <si>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</si>
  <si>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</si>
  <si>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</si>
  <si>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</si>
  <si>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</si>
  <si>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</si>
  <si>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</si>
  <si>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</si>
  <si>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</si>
  <si>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</si>
  <si>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</si>
  <si>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</si>
  <si>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</si>
  <si>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</si>
  <si>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</si>
  <si>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</si>
  <si>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</si>
  <si>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</si>
  <si>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</si>
  <si>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</si>
  <si>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</si>
  <si>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</si>
  <si>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</si>
  <si>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</si>
  <si>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</si>
  <si>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</si>
  <si>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</si>
  <si>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</si>
  <si>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</si>
  <si>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</si>
  <si>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</si>
  <si>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</si>
  <si>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</si>
  <si>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</si>
  <si>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</si>
  <si>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</si>
  <si>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</si>
  <si>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</si>
  <si>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</si>
  <si>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</si>
  <si>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</si>
  <si>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</si>
  <si>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</si>
  <si>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</si>
  <si>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</si>
  <si>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</si>
  <si>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</si>
  <si>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</si>
  <si>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</si>
  <si>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</si>
  <si>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</si>
  <si>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</si>
  <si>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</si>
  <si>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</si>
  <si>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</si>
  <si>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</si>
  <si>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</si>
  <si>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</si>
  <si>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</si>
  <si>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</si>
  <si>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</si>
  <si>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</si>
  <si>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</si>
  <si>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</si>
  <si>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</si>
  <si>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</si>
  <si>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</si>
  <si>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</si>
  <si>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</si>
  <si>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</si>
  <si>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</si>
  <si>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</si>
  <si>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</si>
  <si>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</si>
  <si>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</si>
  <si>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</si>
  <si>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</si>
  <si>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</si>
  <si>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</si>
  <si>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</si>
  <si>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</si>
  <si>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</si>
  <si>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</si>
  <si>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</si>
  <si>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</si>
  <si>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</si>
  <si>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</si>
  <si>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</si>
  <si>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</si>
  <si>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</si>
  <si>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</si>
  <si>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</si>
  <si>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</si>
  <si>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</si>
  <si>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</si>
  <si>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</si>
  <si>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</si>
  <si>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</si>
  <si>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</si>
  <si>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</si>
  <si>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</si>
  <si>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</si>
  <si>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</si>
  <si>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</si>
  <si>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</si>
  <si>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</si>
  <si>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</si>
  <si>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</si>
  <si>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</si>
  <si>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</si>
  <si>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</si>
  <si>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</si>
  <si>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</si>
  <si>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</si>
  <si>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</si>
  <si>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</si>
  <si>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</si>
  <si>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</si>
  <si>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</si>
  <si>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</si>
  <si>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</si>
  <si>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</si>
  <si>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</si>
  <si>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</si>
  <si>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</si>
  <si>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</si>
  <si>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</si>
  <si>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</si>
  <si>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</si>
  <si>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</si>
  <si>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</si>
  <si>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</si>
  <si>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</si>
  <si>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</si>
  <si>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</si>
  <si>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</si>
  <si>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</si>
  <si>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</si>
  <si>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</si>
  <si>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</si>
  <si>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</si>
  <si>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</si>
  <si>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</si>
  <si>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</si>
  <si>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</si>
  <si>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</si>
  <si>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</si>
  <si>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</si>
  <si>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</si>
  <si>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</si>
  <si>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</si>
  <si>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</si>
  <si>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</si>
  <si>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</si>
  <si>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</si>
  <si>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</si>
  <si>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</si>
  <si>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</si>
  <si>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</si>
  <si>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</si>
  <si>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</si>
  <si>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</si>
  <si>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</si>
  <si>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</si>
  <si>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</si>
  <si>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</si>
  <si>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</si>
  <si>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</si>
  <si>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</si>
  <si>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</si>
  <si>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</si>
  <si>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</si>
  <si>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</si>
  <si>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</si>
  <si>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</si>
  <si>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</si>
  <si>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</si>
  <si>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</si>
  <si>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</si>
  <si>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</si>
  <si>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</si>
  <si>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</si>
  <si>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</si>
  <si>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</si>
  <si>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</si>
  <si>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</si>
  <si>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</si>
  <si>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</si>
  <si>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</si>
  <si>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</si>
  <si>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</si>
  <si>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</si>
  <si>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</si>
  <si>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</si>
  <si>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</si>
  <si>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</si>
  <si>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</si>
  <si>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</si>
  <si>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</si>
  <si>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</si>
  <si>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</si>
  <si>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</si>
  <si>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</si>
  <si>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</si>
  <si>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</si>
  <si>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</si>
  <si>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</si>
  <si>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</si>
  <si>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</si>
  <si>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</si>
  <si>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</si>
  <si>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</si>
  <si>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</si>
  <si>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</si>
  <si>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</si>
  <si>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</si>
  <si>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</si>
  <si>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</si>
  <si>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</si>
  <si>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</si>
  <si>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</si>
  <si>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</si>
  <si>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</si>
  <si>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</si>
  <si>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</si>
  <si>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</si>
  <si>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</si>
  <si>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</si>
  <si>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</si>
  <si>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</si>
  <si>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</si>
  <si>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</si>
  <si>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</si>
  <si>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</si>
  <si>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</si>
  <si>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</si>
  <si>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</si>
  <si>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</si>
  <si>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</si>
  <si>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</si>
  <si>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</si>
  <si>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</si>
  <si>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</si>
  <si>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</si>
  <si>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</si>
  <si>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</si>
  <si>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</si>
  <si>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</si>
  <si>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</si>
  <si>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</si>
  <si>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</si>
  <si>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</si>
  <si>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</si>
  <si>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</si>
  <si>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</si>
  <si>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</si>
  <si>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</si>
  <si>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</si>
  <si>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</si>
  <si>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</si>
  <si>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</si>
  <si>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</si>
  <si>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</si>
  <si>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</si>
  <si>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</si>
  <si>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</si>
  <si>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</si>
  <si>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</si>
  <si>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</si>
  <si>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</si>
  <si>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</si>
  <si>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</si>
  <si>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</si>
  <si>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</si>
  <si>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</si>
  <si>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</si>
  <si>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</si>
  <si>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</si>
  <si>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</si>
  <si>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</si>
  <si>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</si>
  <si>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</si>
  <si>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</si>
  <si>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</si>
  <si>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</si>
  <si>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</si>
  <si>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</si>
  <si>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</si>
  <si>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</si>
  <si>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</si>
  <si>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</si>
  <si>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</si>
  <si>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</si>
  <si>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</si>
  <si>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</si>
  <si>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</si>
  <si>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</si>
  <si>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</si>
  <si>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</si>
  <si>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</si>
  <si>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</si>
  <si>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</si>
  <si>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</si>
  <si>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</si>
  <si>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</si>
  <si>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</si>
  <si>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</si>
  <si>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</si>
  <si>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</si>
  <si>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</si>
  <si>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</si>
  <si>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</si>
  <si>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</si>
  <si>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</si>
  <si>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</si>
  <si>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</si>
  <si>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</si>
  <si>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</si>
  <si>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</si>
  <si>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</si>
  <si>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</si>
  <si>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</si>
  <si>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</si>
  <si>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</si>
  <si>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</si>
  <si>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</si>
  <si>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</si>
  <si>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</si>
  <si>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</si>
  <si>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</si>
  <si>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</si>
  <si>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</si>
  <si>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</si>
  <si>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</si>
  <si>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</si>
  <si>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</si>
  <si>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</si>
  <si>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</si>
  <si>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</si>
  <si>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</si>
  <si>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</si>
  <si>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</si>
  <si>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</si>
  <si>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</si>
  <si>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</si>
  <si>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</si>
  <si>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</si>
  <si>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</si>
  <si>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</si>
  <si>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</si>
  <si>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</si>
  <si>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</si>
  <si>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</si>
  <si>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</si>
  <si>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</si>
  <si>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</si>
  <si>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</si>
  <si>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</si>
  <si>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</si>
  <si>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</si>
  <si>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</si>
  <si>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</si>
  <si>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</si>
  <si>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</si>
  <si>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</si>
  <si>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</si>
  <si>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</si>
  <si>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</si>
  <si>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</si>
  <si>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</si>
  <si>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</si>
  <si>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</si>
  <si>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</si>
  <si>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</si>
  <si>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</si>
  <si>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</si>
  <si>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</si>
  <si>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</si>
  <si>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</si>
  <si>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</si>
  <si>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</si>
  <si>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</si>
  <si>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</si>
  <si>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</si>
  <si>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</si>
  <si>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</si>
  <si>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</si>
  <si>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</si>
  <si>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</si>
  <si>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</si>
  <si>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</si>
  <si>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</si>
  <si>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</si>
  <si>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</si>
  <si>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</si>
  <si>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</si>
  <si>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</si>
  <si>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</si>
  <si>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</si>
  <si>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</si>
  <si>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</si>
  <si>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</si>
  <si>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</si>
  <si>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</si>
  <si>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</si>
  <si>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</si>
  <si>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</si>
  <si>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</si>
  <si>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</si>
  <si>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</si>
  <si>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</si>
  <si>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</si>
  <si>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</si>
  <si>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</si>
  <si>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</si>
  <si>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</si>
  <si>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</si>
  <si>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</si>
  <si>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</si>
  <si>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</si>
  <si>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</si>
  <si>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</si>
  <si>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</si>
  <si>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</si>
  <si>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</si>
  <si>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</si>
  <si>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</si>
  <si>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</si>
  <si>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</si>
  <si>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</si>
  <si>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</si>
  <si>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</si>
  <si>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</si>
  <si>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</si>
  <si>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</si>
  <si>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</si>
  <si>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</si>
  <si>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</si>
  <si>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</si>
  <si>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</si>
  <si>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</si>
  <si>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</si>
  <si>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</si>
  <si>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</si>
  <si>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117005106</t>
  </si>
  <si>
    <t>СЕВДАЛИН ЖЕЛЕВ ЖЕЛЕВ</t>
  </si>
  <si>
    <t>ГРАД РУСЕ, УЛ.ТЕЦ ИЗТОК</t>
  </si>
  <si>
    <t>082/844-068</t>
  </si>
  <si>
    <t>ПАВЛИНА ЛЮБЕНОВА ПЕТРОВА</t>
  </si>
  <si>
    <t>РЪКОВОДИТЕЛ НАПРАВЛЕНИЕ ФИД</t>
  </si>
  <si>
    <t>toplo@toplo-ruse.com</t>
  </si>
  <si>
    <t>1 Д КОНСЕЙ  ООД</t>
  </si>
  <si>
    <t>ТОПЛОФИКАЦИЯ РУСЕ АД</t>
  </si>
  <si>
    <t>082/883-313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</si>
</sst>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44469</v>
      </c>
    </row>
    <row r="2" spans="1:27" ht="15.75">
      <c r="A2" s="464" t="s">
        <v>680</v>
      </c>
      <c r="B2" s="459"/>
      <c r="Z2" s="476">
        <v>2</v>
      </c>
      <c r="AA2" s="477">
        <f>IF(ISBLANK(_pdeReportingDate),"",_pdeReportingDate)</f>
        <v>44494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ПАВЛИНА ЛЮБЕНОВА ПЕТРОВА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/>
    </row>
    <row r="25" spans="1:2" ht="15.75">
      <c r="A25" s="7" t="s">
        <v>615</v>
      </c>
      <c r="B25" s="468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zoomScalePageLayoutView="0" workbookViewId="0" topLeftCell="A1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4145</v>
      </c>
      <c r="D12" s="138">
        <v>4145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7163</v>
      </c>
      <c r="D13" s="138">
        <v>7394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13298</v>
      </c>
      <c r="D14" s="138">
        <v>16147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12030</v>
      </c>
      <c r="D15" s="138">
        <v>12631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256</v>
      </c>
      <c r="D16" s="138">
        <v>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15711</v>
      </c>
      <c r="D18" s="138">
        <v>9099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21</v>
      </c>
      <c r="D19" s="138">
        <v>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52624</v>
      </c>
      <c r="D20" s="377">
        <f>SUM(D12:D19)</f>
        <v>49479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1086</v>
      </c>
      <c r="D21" s="268">
        <v>1086</v>
      </c>
      <c r="E21" s="76" t="s">
        <v>58</v>
      </c>
      <c r="F21" s="80" t="s">
        <v>59</v>
      </c>
      <c r="G21" s="138">
        <v>26455</v>
      </c>
      <c r="H21" s="137">
        <v>26461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17853</v>
      </c>
      <c r="H22" s="393">
        <f>SUM(H23:H25)</f>
        <v>17853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5</v>
      </c>
      <c r="E24" s="143" t="s">
        <v>69</v>
      </c>
      <c r="F24" s="80" t="s">
        <v>70</v>
      </c>
      <c r="G24" s="138">
        <v>2835</v>
      </c>
      <c r="H24" s="137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2</v>
      </c>
      <c r="E25" s="76" t="s">
        <v>73</v>
      </c>
      <c r="F25" s="80" t="s">
        <v>74</v>
      </c>
      <c r="G25" s="138">
        <v>15018</v>
      </c>
      <c r="H25" s="137">
        <v>15018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44308</v>
      </c>
      <c r="H26" s="377">
        <f>H20+H21+H22</f>
        <v>44314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7</v>
      </c>
      <c r="E28" s="143" t="s">
        <v>84</v>
      </c>
      <c r="F28" s="80" t="s">
        <v>85</v>
      </c>
      <c r="G28" s="374">
        <f>SUM(G29:G31)</f>
        <v>13750</v>
      </c>
      <c r="H28" s="375">
        <f>SUM(H29:H31)</f>
        <v>8706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13750</v>
      </c>
      <c r="H29" s="137">
        <v>11104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-2398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5931</v>
      </c>
      <c r="H32" s="137">
        <v>5321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19681</v>
      </c>
      <c r="H34" s="377">
        <f>H28+H32+H33</f>
        <v>14027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92338</v>
      </c>
      <c r="H37" s="379">
        <f>H26+H18+H34</f>
        <v>86690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3015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7499</v>
      </c>
      <c r="H45" s="137">
        <v>6921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16703</v>
      </c>
      <c r="H47" s="137">
        <v>31514</v>
      </c>
    </row>
    <row r="48" spans="1:13" ht="15.75">
      <c r="A48" s="76" t="s">
        <v>144</v>
      </c>
      <c r="B48" s="78" t="s">
        <v>145</v>
      </c>
      <c r="C48" s="138">
        <v>2150</v>
      </c>
      <c r="D48" s="137"/>
      <c r="E48" s="142" t="s">
        <v>146</v>
      </c>
      <c r="F48" s="80" t="s">
        <v>147</v>
      </c>
      <c r="G48" s="138">
        <v>4000</v>
      </c>
      <c r="H48" s="137">
        <v>4000</v>
      </c>
      <c r="M48" s="85"/>
    </row>
    <row r="49" spans="1:8" ht="15.75">
      <c r="A49" s="76" t="s">
        <v>148</v>
      </c>
      <c r="B49" s="81" t="s">
        <v>149</v>
      </c>
      <c r="C49" s="138">
        <v>3823</v>
      </c>
      <c r="D49" s="137">
        <v>10910</v>
      </c>
      <c r="E49" s="76" t="s">
        <v>150</v>
      </c>
      <c r="F49" s="80" t="s">
        <v>151</v>
      </c>
      <c r="G49" s="138">
        <v>395</v>
      </c>
      <c r="H49" s="137">
        <v>395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31612</v>
      </c>
      <c r="H50" s="375">
        <f>SUM(H44:H49)</f>
        <v>42830</v>
      </c>
    </row>
    <row r="51" spans="1:8" ht="15.75">
      <c r="A51" s="76" t="s">
        <v>79</v>
      </c>
      <c r="B51" s="78" t="s">
        <v>155</v>
      </c>
      <c r="C51" s="138">
        <v>2337</v>
      </c>
      <c r="D51" s="137">
        <v>43895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8310</v>
      </c>
      <c r="D52" s="377">
        <f>SUM(D48:D51)</f>
        <v>54805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1713</v>
      </c>
      <c r="D55" s="270">
        <v>1713</v>
      </c>
      <c r="E55" s="76" t="s">
        <v>168</v>
      </c>
      <c r="F55" s="82" t="s">
        <v>169</v>
      </c>
      <c r="G55" s="138">
        <v>1334</v>
      </c>
      <c r="H55" s="137">
        <v>1334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69830</v>
      </c>
      <c r="D56" s="381">
        <f>D20+D21+D22+D28+D33+D46+D52+D54+D55</f>
        <v>113182</v>
      </c>
      <c r="E56" s="87" t="s">
        <v>557</v>
      </c>
      <c r="F56" s="86" t="s">
        <v>172</v>
      </c>
      <c r="G56" s="378">
        <f>G50+G52+G53+G54+G55</f>
        <v>32946</v>
      </c>
      <c r="H56" s="379">
        <f>H50+H52+H53+H54+H55</f>
        <v>44164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72534</v>
      </c>
      <c r="D59" s="137">
        <v>48284</v>
      </c>
      <c r="E59" s="142" t="s">
        <v>180</v>
      </c>
      <c r="F59" s="277" t="s">
        <v>181</v>
      </c>
      <c r="G59" s="138">
        <v>345</v>
      </c>
      <c r="H59" s="137">
        <v>686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85694</v>
      </c>
      <c r="H61" s="375">
        <f>SUM(H62:H68)</f>
        <v>91942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135</v>
      </c>
      <c r="H63" s="137">
        <v>549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84073</v>
      </c>
      <c r="H64" s="137">
        <v>89730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72534</v>
      </c>
      <c r="D65" s="377">
        <f>SUM(D59:D64)</f>
        <v>48284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501</v>
      </c>
      <c r="H66" s="137">
        <v>676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398</v>
      </c>
      <c r="H67" s="137">
        <v>281</v>
      </c>
    </row>
    <row r="68" spans="1:8" ht="15.75">
      <c r="A68" s="76" t="s">
        <v>206</v>
      </c>
      <c r="B68" s="78" t="s">
        <v>207</v>
      </c>
      <c r="C68" s="138">
        <v>2</v>
      </c>
      <c r="D68" s="137"/>
      <c r="E68" s="76" t="s">
        <v>212</v>
      </c>
      <c r="F68" s="80" t="s">
        <v>213</v>
      </c>
      <c r="G68" s="138">
        <v>587</v>
      </c>
      <c r="H68" s="137">
        <v>706</v>
      </c>
    </row>
    <row r="69" spans="1:8" ht="15.75">
      <c r="A69" s="76" t="s">
        <v>210</v>
      </c>
      <c r="B69" s="78" t="s">
        <v>211</v>
      </c>
      <c r="C69" s="138">
        <v>67144</v>
      </c>
      <c r="D69" s="138">
        <v>68797</v>
      </c>
      <c r="E69" s="142" t="s">
        <v>79</v>
      </c>
      <c r="F69" s="80" t="s">
        <v>216</v>
      </c>
      <c r="G69" s="138">
        <v>7736</v>
      </c>
      <c r="H69" s="137">
        <v>14271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208</v>
      </c>
      <c r="H70" s="137">
        <v>305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93983</v>
      </c>
      <c r="H71" s="377">
        <f>H59+H60+H61+H69+H70</f>
        <v>107204</v>
      </c>
    </row>
    <row r="72" spans="1:8" ht="15.75">
      <c r="A72" s="76" t="s">
        <v>221</v>
      </c>
      <c r="B72" s="78" t="s">
        <v>222</v>
      </c>
      <c r="C72" s="138">
        <v>2366</v>
      </c>
      <c r="D72" s="138">
        <v>2340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4575</v>
      </c>
      <c r="D73" s="138">
        <v>2122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2790</v>
      </c>
      <c r="D75" s="138">
        <v>3115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76877</v>
      </c>
      <c r="D76" s="377">
        <f>SUM(D68:D75)</f>
        <v>76374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17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94000</v>
      </c>
      <c r="H79" s="379">
        <f>H71+H73+H75+H77</f>
        <v>107272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43</v>
      </c>
      <c r="D88" s="137">
        <v>286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43</v>
      </c>
      <c r="D92" s="377">
        <f>SUM(D88:D91)</f>
        <v>286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149454</v>
      </c>
      <c r="D94" s="381">
        <f>D65+D76+D85+D92+D93</f>
        <v>124944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219284</v>
      </c>
      <c r="D95" s="383">
        <f>D94+D56</f>
        <v>238126</v>
      </c>
      <c r="E95" s="169" t="s">
        <v>635</v>
      </c>
      <c r="F95" s="280" t="s">
        <v>268</v>
      </c>
      <c r="G95" s="382">
        <f>G37+G40+G56+G79</f>
        <v>219284</v>
      </c>
      <c r="H95" s="383">
        <f>H37+H40+H56+H79</f>
        <v>238126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79">
        <f>pdeReportingDate</f>
        <v>44494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ПАВЛИНА ЛЮБЕНОВА ПЕТРОВА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verticalCentered="1"/>
  <pageMargins left="0" right="0" top="0" bottom="0.3937007874015748" header="0" footer="0"/>
  <pageSetup fitToHeight="2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SheetLayoutView="80" zoomScalePageLayoutView="0" workbookViewId="0" topLeftCell="A28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35161</v>
      </c>
      <c r="D12" s="256">
        <v>31509</v>
      </c>
      <c r="E12" s="135" t="s">
        <v>277</v>
      </c>
      <c r="F12" s="180" t="s">
        <v>278</v>
      </c>
      <c r="G12" s="256">
        <v>58876</v>
      </c>
      <c r="H12" s="256">
        <v>48499</v>
      </c>
    </row>
    <row r="13" spans="1:8" ht="15.75">
      <c r="A13" s="135" t="s">
        <v>279</v>
      </c>
      <c r="B13" s="131" t="s">
        <v>280</v>
      </c>
      <c r="C13" s="256">
        <v>1770</v>
      </c>
      <c r="D13" s="256">
        <v>1727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3867</v>
      </c>
      <c r="D14" s="256">
        <v>3988</v>
      </c>
      <c r="E14" s="185" t="s">
        <v>285</v>
      </c>
      <c r="F14" s="180" t="s">
        <v>286</v>
      </c>
      <c r="G14" s="256">
        <v>258</v>
      </c>
      <c r="H14" s="256">
        <v>226</v>
      </c>
    </row>
    <row r="15" spans="1:8" ht="15.75">
      <c r="A15" s="135" t="s">
        <v>287</v>
      </c>
      <c r="B15" s="131" t="s">
        <v>288</v>
      </c>
      <c r="C15" s="256">
        <v>4860</v>
      </c>
      <c r="D15" s="256">
        <v>4262</v>
      </c>
      <c r="E15" s="185" t="s">
        <v>79</v>
      </c>
      <c r="F15" s="180" t="s">
        <v>289</v>
      </c>
      <c r="G15" s="256">
        <v>5478</v>
      </c>
      <c r="H15" s="256">
        <f>182+622</f>
        <v>804</v>
      </c>
    </row>
    <row r="16" spans="1:8" ht="15.75">
      <c r="A16" s="135" t="s">
        <v>290</v>
      </c>
      <c r="B16" s="131" t="s">
        <v>291</v>
      </c>
      <c r="C16" s="256">
        <v>1238</v>
      </c>
      <c r="D16" s="256">
        <v>1105</v>
      </c>
      <c r="E16" s="176" t="s">
        <v>52</v>
      </c>
      <c r="F16" s="204" t="s">
        <v>292</v>
      </c>
      <c r="G16" s="407">
        <f>SUM(G12:G15)</f>
        <v>64612</v>
      </c>
      <c r="H16" s="408">
        <f>SUM(H12:H15)</f>
        <v>49529</v>
      </c>
    </row>
    <row r="17" spans="1:8" ht="31.5">
      <c r="A17" s="135" t="s">
        <v>293</v>
      </c>
      <c r="B17" s="131" t="s">
        <v>294</v>
      </c>
      <c r="C17" s="256">
        <v>171</v>
      </c>
      <c r="D17" s="256">
        <v>34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51</v>
      </c>
      <c r="H18" s="418">
        <v>55</v>
      </c>
    </row>
    <row r="19" spans="1:8" ht="15.75">
      <c r="A19" s="135" t="s">
        <v>299</v>
      </c>
      <c r="B19" s="131" t="s">
        <v>300</v>
      </c>
      <c r="C19" s="256">
        <v>10525</v>
      </c>
      <c r="D19" s="256">
        <v>2760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57592</v>
      </c>
      <c r="D22" s="408">
        <f>SUM(D12:D18)+D19</f>
        <v>45385</v>
      </c>
      <c r="E22" s="135" t="s">
        <v>309</v>
      </c>
      <c r="F22" s="177" t="s">
        <v>310</v>
      </c>
      <c r="G22" s="256">
        <v>1388</v>
      </c>
      <c r="H22" s="256">
        <v>2246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1705</v>
      </c>
      <c r="D25" s="256">
        <v>2607</v>
      </c>
      <c r="E25" s="135" t="s">
        <v>318</v>
      </c>
      <c r="F25" s="177" t="s">
        <v>319</v>
      </c>
      <c r="G25" s="256">
        <v>236</v>
      </c>
      <c r="H25" s="256">
        <v>389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736</v>
      </c>
      <c r="D27" s="256">
        <v>156</v>
      </c>
      <c r="E27" s="176" t="s">
        <v>104</v>
      </c>
      <c r="F27" s="178" t="s">
        <v>326</v>
      </c>
      <c r="G27" s="407">
        <f>SUM(G22:G26)</f>
        <v>1624</v>
      </c>
      <c r="H27" s="408">
        <f>SUM(H22:H26)</f>
        <v>2635</v>
      </c>
    </row>
    <row r="28" spans="1:8" ht="15.75">
      <c r="A28" s="135" t="s">
        <v>79</v>
      </c>
      <c r="B28" s="177" t="s">
        <v>327</v>
      </c>
      <c r="C28" s="256">
        <v>323</v>
      </c>
      <c r="D28" s="256">
        <v>1091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2764</v>
      </c>
      <c r="D29" s="408">
        <f>SUM(D25:D28)</f>
        <v>3854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60356</v>
      </c>
      <c r="D31" s="414">
        <f>D29+D22</f>
        <v>49239</v>
      </c>
      <c r="E31" s="191" t="s">
        <v>548</v>
      </c>
      <c r="F31" s="206" t="s">
        <v>331</v>
      </c>
      <c r="G31" s="193">
        <f>G16+G18+G27</f>
        <v>66287</v>
      </c>
      <c r="H31" s="194">
        <f>H16+H18+H27</f>
        <v>52219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5931</v>
      </c>
      <c r="D33" s="184">
        <f>IF((H31-D31)&gt;0,H31-D31,0)</f>
        <v>2980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60356</v>
      </c>
      <c r="D36" s="416">
        <f>D31-D34+D35</f>
        <v>49239</v>
      </c>
      <c r="E36" s="202" t="s">
        <v>346</v>
      </c>
      <c r="F36" s="196" t="s">
        <v>347</v>
      </c>
      <c r="G36" s="207">
        <f>G35-G34+G31</f>
        <v>66287</v>
      </c>
      <c r="H36" s="208">
        <f>H35-H34+H31</f>
        <v>52219</v>
      </c>
    </row>
    <row r="37" spans="1:8" ht="15.75">
      <c r="A37" s="201" t="s">
        <v>348</v>
      </c>
      <c r="B37" s="171" t="s">
        <v>349</v>
      </c>
      <c r="C37" s="413">
        <f>IF((G36-C36)&gt;0,G36-C36,0)</f>
        <v>5931</v>
      </c>
      <c r="D37" s="414">
        <f>IF((H36-D36)&gt;0,H36-D36,0)</f>
        <v>2980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5931</v>
      </c>
      <c r="D42" s="184">
        <f>+IF((H36-D36-D38)&gt;0,H36-D36-D38,0)</f>
        <v>2980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5931</v>
      </c>
      <c r="D44" s="208">
        <f>IF(H42=0,IF(D42-D43&gt;0,D42-D43+H43,0),IF(H42-H43&lt;0,H43-H42+D42,0))</f>
        <v>2980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66287</v>
      </c>
      <c r="D45" s="410">
        <f>D36+D38+D42</f>
        <v>52219</v>
      </c>
      <c r="E45" s="210" t="s">
        <v>373</v>
      </c>
      <c r="F45" s="212" t="s">
        <v>374</v>
      </c>
      <c r="G45" s="409">
        <f>G42+G36</f>
        <v>66287</v>
      </c>
      <c r="H45" s="410">
        <f>H42+H36</f>
        <v>52219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2" t="s">
        <v>669</v>
      </c>
      <c r="B47" s="482"/>
      <c r="C47" s="482"/>
      <c r="D47" s="482"/>
      <c r="E47" s="48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79">
        <f>pdeReportingDate</f>
        <v>44494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ПАВЛИНА ЛЮБЕНОВА ПЕТРОВА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3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3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3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3"/>
      <c r="G58" s="41"/>
      <c r="H58" s="39"/>
    </row>
    <row r="59" spans="1:8" ht="15.75">
      <c r="A59" s="473"/>
      <c r="B59" s="478"/>
      <c r="C59" s="478"/>
      <c r="D59" s="478"/>
      <c r="E59" s="478"/>
      <c r="F59" s="353"/>
      <c r="G59" s="41"/>
      <c r="H59" s="39"/>
    </row>
    <row r="60" spans="1:8" ht="15.75">
      <c r="A60" s="473"/>
      <c r="B60" s="478"/>
      <c r="C60" s="478"/>
      <c r="D60" s="478"/>
      <c r="E60" s="478"/>
      <c r="F60" s="353"/>
      <c r="G60" s="41"/>
      <c r="H60" s="39"/>
    </row>
    <row r="61" spans="1:8" ht="15.75">
      <c r="A61" s="473"/>
      <c r="B61" s="478"/>
      <c r="C61" s="478"/>
      <c r="D61" s="478"/>
      <c r="E61" s="47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102824</v>
      </c>
      <c r="D11" s="138">
        <v>63970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-110634</v>
      </c>
      <c r="D12" s="138">
        <v>-79266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-5220</v>
      </c>
      <c r="D14" s="138">
        <v>-3917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-7626</v>
      </c>
      <c r="D15" s="138">
        <v>-5521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30842</v>
      </c>
      <c r="D20" s="138">
        <v>31326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10186</v>
      </c>
      <c r="D21" s="437">
        <f>SUM(D11:D20)</f>
        <v>6592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-9820</v>
      </c>
      <c r="D32" s="138">
        <v>-14154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-9820</v>
      </c>
      <c r="D33" s="437">
        <f>SUM(D23:D32)</f>
        <v>-14154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549</v>
      </c>
      <c r="D37" s="138">
        <v>7607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-343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-283</v>
      </c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-532</v>
      </c>
      <c r="D42" s="138">
        <v>-227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-609</v>
      </c>
      <c r="D43" s="439">
        <f>SUM(D35:D42)</f>
        <v>7380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-243</v>
      </c>
      <c r="D44" s="247">
        <f>D43+D33+D21</f>
        <v>-182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286</v>
      </c>
      <c r="D45" s="249">
        <v>197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</v>
      </c>
      <c r="D46" s="251">
        <f>D45+D44</f>
        <v>15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43</v>
      </c>
      <c r="D47" s="238">
        <v>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79">
        <f>pdeReportingDate</f>
        <v>44494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ПАВЛИНА ЛЮБЕНОВА ПЕТРОВА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670</v>
      </c>
      <c r="C59" s="478"/>
      <c r="D59" s="478"/>
      <c r="E59" s="478"/>
      <c r="F59" s="353"/>
      <c r="G59" s="41"/>
      <c r="H59" s="39"/>
    </row>
    <row r="60" spans="1:8" ht="15.75">
      <c r="A60" s="473"/>
      <c r="B60" s="478" t="s">
        <v>670</v>
      </c>
      <c r="C60" s="478"/>
      <c r="D60" s="478"/>
      <c r="E60" s="478"/>
      <c r="F60" s="353"/>
      <c r="G60" s="41"/>
      <c r="H60" s="39"/>
    </row>
    <row r="61" spans="1:8" ht="15.75">
      <c r="A61" s="473"/>
      <c r="B61" s="478" t="s">
        <v>670</v>
      </c>
      <c r="C61" s="478"/>
      <c r="D61" s="478"/>
      <c r="E61" s="478"/>
      <c r="F61" s="353"/>
      <c r="G61" s="41"/>
      <c r="H61" s="39"/>
    </row>
    <row r="62" spans="1:8" ht="15.75">
      <c r="A62" s="473"/>
      <c r="B62" s="478" t="s">
        <v>670</v>
      </c>
      <c r="C62" s="478"/>
      <c r="D62" s="478"/>
      <c r="E62" s="478"/>
      <c r="F62" s="353"/>
      <c r="G62" s="41"/>
      <c r="H62" s="39"/>
    </row>
    <row r="63" spans="1:8" ht="15.75">
      <c r="A63" s="473"/>
      <c r="B63" s="478"/>
      <c r="C63" s="478"/>
      <c r="D63" s="478"/>
      <c r="E63" s="478"/>
      <c r="F63" s="353"/>
      <c r="G63" s="41"/>
      <c r="H63" s="39"/>
    </row>
    <row r="64" spans="1:8" ht="15.75">
      <c r="A64" s="473"/>
      <c r="B64" s="478"/>
      <c r="C64" s="478"/>
      <c r="D64" s="478"/>
      <c r="E64" s="478"/>
      <c r="F64" s="353"/>
      <c r="G64" s="41"/>
      <c r="H64" s="39"/>
    </row>
    <row r="65" spans="1:8" ht="15.75">
      <c r="A65" s="473"/>
      <c r="B65" s="478"/>
      <c r="C65" s="478"/>
      <c r="D65" s="478"/>
      <c r="E65" s="47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4" t="s">
        <v>460</v>
      </c>
      <c r="L8" s="484" t="s">
        <v>461</v>
      </c>
      <c r="M8" s="310"/>
      <c r="N8" s="311"/>
    </row>
    <row r="9" spans="1:14" s="312" customFormat="1" ht="31.5">
      <c r="A9" s="490"/>
      <c r="B9" s="493"/>
      <c r="C9" s="485"/>
      <c r="D9" s="487" t="s">
        <v>550</v>
      </c>
      <c r="E9" s="487" t="s">
        <v>456</v>
      </c>
      <c r="F9" s="314" t="s">
        <v>457</v>
      </c>
      <c r="G9" s="314"/>
      <c r="H9" s="314"/>
      <c r="I9" s="488" t="s">
        <v>458</v>
      </c>
      <c r="J9" s="488" t="s">
        <v>459</v>
      </c>
      <c r="K9" s="485"/>
      <c r="L9" s="485"/>
      <c r="M9" s="315" t="s">
        <v>549</v>
      </c>
      <c r="N9" s="311"/>
    </row>
    <row r="10" spans="1:14" s="312" customFormat="1" ht="31.5">
      <c r="A10" s="491"/>
      <c r="B10" s="494"/>
      <c r="C10" s="486"/>
      <c r="D10" s="487"/>
      <c r="E10" s="487"/>
      <c r="F10" s="313" t="s">
        <v>462</v>
      </c>
      <c r="G10" s="313" t="s">
        <v>463</v>
      </c>
      <c r="H10" s="313" t="s">
        <v>464</v>
      </c>
      <c r="I10" s="486"/>
      <c r="J10" s="486"/>
      <c r="K10" s="486"/>
      <c r="L10" s="48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26461</v>
      </c>
      <c r="F13" s="363">
        <f>'1-Баланс'!H23</f>
        <v>0</v>
      </c>
      <c r="G13" s="363">
        <f>'1-Баланс'!H24</f>
        <v>2835</v>
      </c>
      <c r="H13" s="364">
        <v>15018</v>
      </c>
      <c r="I13" s="363">
        <f>'1-Баланс'!H29+'1-Баланс'!H32</f>
        <v>16425</v>
      </c>
      <c r="J13" s="363">
        <f>'1-Баланс'!H30+'1-Баланс'!H33</f>
        <v>-2398</v>
      </c>
      <c r="K13" s="364"/>
      <c r="L13" s="363">
        <f>SUM(C13:K13)</f>
        <v>86690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28349</v>
      </c>
      <c r="D17" s="431">
        <f aca="true" t="shared" si="2" ref="D17:M17">D13+D14</f>
        <v>0</v>
      </c>
      <c r="E17" s="431">
        <f t="shared" si="2"/>
        <v>26461</v>
      </c>
      <c r="F17" s="431">
        <f t="shared" si="2"/>
        <v>0</v>
      </c>
      <c r="G17" s="431">
        <f t="shared" si="2"/>
        <v>2835</v>
      </c>
      <c r="H17" s="431">
        <f t="shared" si="2"/>
        <v>15018</v>
      </c>
      <c r="I17" s="431">
        <f t="shared" si="2"/>
        <v>16425</v>
      </c>
      <c r="J17" s="431">
        <f t="shared" si="2"/>
        <v>-2398</v>
      </c>
      <c r="K17" s="431">
        <f t="shared" si="2"/>
        <v>0</v>
      </c>
      <c r="L17" s="363">
        <f t="shared" si="1"/>
        <v>86690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5931</v>
      </c>
      <c r="J18" s="363">
        <f>+'1-Баланс'!G33</f>
        <v>0</v>
      </c>
      <c r="K18" s="364"/>
      <c r="L18" s="363">
        <f t="shared" si="1"/>
        <v>5931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-2681</v>
      </c>
      <c r="J19" s="109">
        <f>J20+J21</f>
        <v>2398</v>
      </c>
      <c r="K19" s="109">
        <f t="shared" si="3"/>
        <v>0</v>
      </c>
      <c r="L19" s="363">
        <f t="shared" si="1"/>
        <v>-283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-283</v>
      </c>
      <c r="J20" s="256"/>
      <c r="K20" s="256"/>
      <c r="L20" s="363">
        <f>SUM(C20:K20)</f>
        <v>-283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-2398</v>
      </c>
      <c r="J21" s="256">
        <v>2398</v>
      </c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-6</v>
      </c>
      <c r="F30" s="256"/>
      <c r="G30" s="256"/>
      <c r="H30" s="256"/>
      <c r="I30" s="256">
        <v>6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28349</v>
      </c>
      <c r="D31" s="431">
        <f aca="true" t="shared" si="6" ref="D31:M31">D19+D22+D23+D26+D30+D29+D17+D18</f>
        <v>0</v>
      </c>
      <c r="E31" s="431">
        <f t="shared" si="6"/>
        <v>26455</v>
      </c>
      <c r="F31" s="431">
        <f t="shared" si="6"/>
        <v>0</v>
      </c>
      <c r="G31" s="431">
        <f t="shared" si="6"/>
        <v>2835</v>
      </c>
      <c r="H31" s="431">
        <f t="shared" si="6"/>
        <v>15018</v>
      </c>
      <c r="I31" s="431">
        <f t="shared" si="6"/>
        <v>19681</v>
      </c>
      <c r="J31" s="431">
        <f t="shared" si="6"/>
        <v>0</v>
      </c>
      <c r="K31" s="431">
        <f t="shared" si="6"/>
        <v>0</v>
      </c>
      <c r="L31" s="363">
        <f t="shared" si="1"/>
        <v>92338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26455</v>
      </c>
      <c r="F34" s="366">
        <f t="shared" si="7"/>
        <v>0</v>
      </c>
      <c r="G34" s="366">
        <f t="shared" si="7"/>
        <v>2835</v>
      </c>
      <c r="H34" s="366">
        <f t="shared" si="7"/>
        <v>15018</v>
      </c>
      <c r="I34" s="366">
        <f t="shared" si="7"/>
        <v>19681</v>
      </c>
      <c r="J34" s="366">
        <f t="shared" si="7"/>
        <v>0</v>
      </c>
      <c r="K34" s="366">
        <f t="shared" si="7"/>
        <v>0</v>
      </c>
      <c r="L34" s="429">
        <f t="shared" si="1"/>
        <v>92338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79">
        <f>pdeReportingDate</f>
        <v>44494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ПАВЛИНА ЛЮБЕНОВА ПЕТРОВА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670</v>
      </c>
      <c r="C43" s="478"/>
      <c r="D43" s="478"/>
      <c r="E43" s="478"/>
      <c r="F43" s="353"/>
      <c r="G43" s="41"/>
      <c r="H43" s="39"/>
      <c r="M43" s="110"/>
    </row>
    <row r="44" spans="1:13" ht="15.75">
      <c r="A44" s="473"/>
      <c r="B44" s="478" t="s">
        <v>670</v>
      </c>
      <c r="C44" s="478"/>
      <c r="D44" s="478"/>
      <c r="E44" s="478"/>
      <c r="F44" s="353"/>
      <c r="G44" s="41"/>
      <c r="H44" s="39"/>
      <c r="M44" s="110"/>
    </row>
    <row r="45" spans="1:13" ht="15.75">
      <c r="A45" s="473"/>
      <c r="B45" s="478" t="s">
        <v>670</v>
      </c>
      <c r="C45" s="478"/>
      <c r="D45" s="478"/>
      <c r="E45" s="478"/>
      <c r="F45" s="353"/>
      <c r="G45" s="41"/>
      <c r="H45" s="39"/>
      <c r="M45" s="110"/>
    </row>
    <row r="46" spans="1:13" ht="15.75">
      <c r="A46" s="473"/>
      <c r="B46" s="478" t="s">
        <v>670</v>
      </c>
      <c r="C46" s="478"/>
      <c r="D46" s="478"/>
      <c r="E46" s="478"/>
      <c r="F46" s="353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3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3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689</v>
      </c>
      <c r="B12" s="457"/>
      <c r="C12" s="79">
        <v>6092</v>
      </c>
      <c r="D12" s="79">
        <v>99.99</v>
      </c>
      <c r="E12" s="79"/>
      <c r="F12" s="260">
        <f>C12-E12</f>
        <v>6092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79">
        <f>pdeReportingDate</f>
        <v>44494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ПАВЛИНА ЛЮБЕНОВА ПЕТРОВА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670</v>
      </c>
      <c r="C156" s="478"/>
      <c r="D156" s="478"/>
      <c r="E156" s="478"/>
      <c r="F156" s="353"/>
      <c r="G156" s="41"/>
      <c r="H156" s="39"/>
    </row>
    <row r="157" spans="1:8" ht="15.75">
      <c r="A157" s="473"/>
      <c r="B157" s="478" t="s">
        <v>670</v>
      </c>
      <c r="C157" s="478"/>
      <c r="D157" s="478"/>
      <c r="E157" s="478"/>
      <c r="F157" s="353"/>
      <c r="G157" s="41"/>
      <c r="H157" s="39"/>
    </row>
    <row r="158" spans="1:8" ht="15.75">
      <c r="A158" s="473"/>
      <c r="B158" s="478" t="s">
        <v>670</v>
      </c>
      <c r="C158" s="478"/>
      <c r="D158" s="478"/>
      <c r="E158" s="478"/>
      <c r="F158" s="353"/>
      <c r="G158" s="41"/>
      <c r="H158" s="39"/>
    </row>
    <row r="159" spans="1:8" ht="15.75">
      <c r="A159" s="473"/>
      <c r="B159" s="478" t="s">
        <v>670</v>
      </c>
      <c r="C159" s="478"/>
      <c r="D159" s="478"/>
      <c r="E159" s="478"/>
      <c r="F159" s="353"/>
      <c r="G159" s="41"/>
      <c r="H159" s="39"/>
    </row>
    <row r="160" spans="1:8" ht="15.75">
      <c r="A160" s="473"/>
      <c r="B160" s="478"/>
      <c r="C160" s="478"/>
      <c r="D160" s="478"/>
      <c r="E160" s="478"/>
      <c r="F160" s="353"/>
      <c r="G160" s="41"/>
      <c r="H160" s="39"/>
    </row>
    <row r="161" spans="1:8" ht="15.75">
      <c r="A161" s="473"/>
      <c r="B161" s="478"/>
      <c r="C161" s="478"/>
      <c r="D161" s="478"/>
      <c r="E161" s="478"/>
      <c r="F161" s="353"/>
      <c r="G161" s="41"/>
      <c r="H161" s="39"/>
    </row>
    <row r="162" spans="1:8" ht="15.75">
      <c r="A162" s="473"/>
      <c r="B162" s="478"/>
      <c r="C162" s="478"/>
      <c r="D162" s="478"/>
      <c r="E162" s="478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7" r:id="rId1"/>
  <rowBreaks count="2" manualBreakCount="2">
    <brk id="79" max="5" man="1"/>
    <brk id="15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30.09.2021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49" t="s">
        <v>632</v>
      </c>
      <c r="D5" s="450" t="s">
        <v>634</v>
      </c>
      <c r="E5" s="449" t="s">
        <v>633</v>
      </c>
      <c r="F5" s="449" t="s">
        <v>631</v>
      </c>
      <c r="G5" s="448" t="s">
        <v>629</v>
      </c>
    </row>
    <row r="6" spans="1:7" ht="18.75" customHeight="1">
      <c r="A6" s="453" t="s">
        <v>675</v>
      </c>
      <c r="B6" s="445" t="s">
        <v>639</v>
      </c>
      <c r="C6" s="451">
        <f>'1-Баланс'!C95</f>
        <v>219284</v>
      </c>
      <c r="D6" s="452">
        <f aca="true" t="shared" si="0" ref="D6:D15">C6-E6</f>
        <v>0</v>
      </c>
      <c r="E6" s="451">
        <f>'1-Баланс'!G95</f>
        <v>219284</v>
      </c>
      <c r="F6" s="446" t="s">
        <v>640</v>
      </c>
      <c r="G6" s="453" t="s">
        <v>675</v>
      </c>
    </row>
    <row r="7" spans="1:7" ht="18.75" customHeight="1">
      <c r="A7" s="453" t="s">
        <v>675</v>
      </c>
      <c r="B7" s="445" t="s">
        <v>638</v>
      </c>
      <c r="C7" s="451">
        <f>'1-Баланс'!G37</f>
        <v>92338</v>
      </c>
      <c r="D7" s="452">
        <f t="shared" si="0"/>
        <v>63989</v>
      </c>
      <c r="E7" s="451">
        <f>'1-Баланс'!G18</f>
        <v>28349</v>
      </c>
      <c r="F7" s="446" t="s">
        <v>455</v>
      </c>
      <c r="G7" s="453" t="s">
        <v>675</v>
      </c>
    </row>
    <row r="8" spans="1:7" ht="18.75" customHeight="1">
      <c r="A8" s="453" t="s">
        <v>675</v>
      </c>
      <c r="B8" s="445" t="s">
        <v>636</v>
      </c>
      <c r="C8" s="451">
        <f>ABS('1-Баланс'!G32)-ABS('1-Баланс'!G33)</f>
        <v>5931</v>
      </c>
      <c r="D8" s="452">
        <f t="shared" si="0"/>
        <v>0</v>
      </c>
      <c r="E8" s="451">
        <f>ABS('2-Отчет за доходите'!C44)-ABS('2-Отчет за доходите'!G44)</f>
        <v>5931</v>
      </c>
      <c r="F8" s="446" t="s">
        <v>637</v>
      </c>
      <c r="G8" s="454" t="s">
        <v>677</v>
      </c>
    </row>
    <row r="9" spans="1:7" ht="18.75" customHeight="1">
      <c r="A9" s="453" t="s">
        <v>675</v>
      </c>
      <c r="B9" s="445" t="s">
        <v>642</v>
      </c>
      <c r="C9" s="451">
        <f>'1-Баланс'!D92</f>
        <v>286</v>
      </c>
      <c r="D9" s="452">
        <f t="shared" si="0"/>
        <v>0</v>
      </c>
      <c r="E9" s="451">
        <f>'3-Отчет за паричния поток'!C45</f>
        <v>286</v>
      </c>
      <c r="F9" s="446" t="s">
        <v>641</v>
      </c>
      <c r="G9" s="454" t="s">
        <v>676</v>
      </c>
    </row>
    <row r="10" spans="1:7" ht="18.75" customHeight="1">
      <c r="A10" s="453" t="s">
        <v>675</v>
      </c>
      <c r="B10" s="445" t="s">
        <v>643</v>
      </c>
      <c r="C10" s="451">
        <f>'1-Баланс'!C92</f>
        <v>43</v>
      </c>
      <c r="D10" s="452">
        <f t="shared" si="0"/>
        <v>0</v>
      </c>
      <c r="E10" s="451">
        <f>'3-Отчет за паричния поток'!C46</f>
        <v>43</v>
      </c>
      <c r="F10" s="446" t="s">
        <v>644</v>
      </c>
      <c r="G10" s="454" t="s">
        <v>676</v>
      </c>
    </row>
    <row r="11" spans="1:7" ht="18.75" customHeight="1">
      <c r="A11" s="453" t="s">
        <v>675</v>
      </c>
      <c r="B11" s="445" t="s">
        <v>638</v>
      </c>
      <c r="C11" s="451">
        <f>'1-Баланс'!G37</f>
        <v>92338</v>
      </c>
      <c r="D11" s="452">
        <f t="shared" si="0"/>
        <v>0</v>
      </c>
      <c r="E11" s="451">
        <f>'4-Отчет за собствения капитал'!L34</f>
        <v>92338</v>
      </c>
      <c r="F11" s="446" t="s">
        <v>645</v>
      </c>
      <c r="G11" s="454" t="s">
        <v>678</v>
      </c>
    </row>
    <row r="12" spans="1:7" ht="18.75" customHeight="1">
      <c r="A12" s="453" t="s">
        <v>675</v>
      </c>
      <c r="B12" s="445" t="s">
        <v>646</v>
      </c>
      <c r="C12" s="451">
        <f>'1-Баланс'!C36</f>
        <v>6092</v>
      </c>
      <c r="D12" s="452">
        <f t="shared" si="0"/>
        <v>0</v>
      </c>
      <c r="E12" s="451">
        <f>'Справка 5'!C27+'Справка 5'!C97</f>
        <v>6092</v>
      </c>
      <c r="F12" s="446" t="s">
        <v>650</v>
      </c>
      <c r="G12" s="454" t="s">
        <v>679</v>
      </c>
    </row>
    <row r="13" spans="1:7" ht="18.75" customHeight="1">
      <c r="A13" s="453" t="s">
        <v>675</v>
      </c>
      <c r="B13" s="445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651</v>
      </c>
      <c r="G13" s="454" t="s">
        <v>679</v>
      </c>
    </row>
    <row r="14" spans="1:7" ht="18.75" customHeight="1">
      <c r="A14" s="453" t="s">
        <v>675</v>
      </c>
      <c r="B14" s="445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6" t="s">
        <v>652</v>
      </c>
      <c r="G14" s="454" t="s">
        <v>679</v>
      </c>
    </row>
    <row r="15" spans="1:7" ht="18.75" customHeight="1">
      <c r="A15" s="453" t="s">
        <v>675</v>
      </c>
      <c r="B15" s="445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0.09179409397635115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0.06423141068682449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0.046720652876026024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0.027047116980719068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1.0982669494333621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1.589936170212766</v>
      </c>
    </row>
    <row r="11" spans="1:4" ht="63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0.8182978723404255</v>
      </c>
    </row>
    <row r="12" spans="1:4" ht="47.2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0.0004574468085106383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0.0004574468085106383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0.5117822715427449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0.29464986045493513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0.26297053095367323</v>
      </c>
    </row>
    <row r="19" spans="1:4" ht="31.5">
      <c r="A19" s="371">
        <v>13</v>
      </c>
      <c r="B19" s="369" t="s">
        <v>626</v>
      </c>
      <c r="C19" s="370" t="s">
        <v>600</v>
      </c>
      <c r="D19" s="419">
        <f>D4/D5</f>
        <v>1.3747969416708181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0.5789113660823407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7636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0.08269618142043363</v>
      </c>
    </row>
    <row r="23" spans="1:4" ht="31.5">
      <c r="A23" s="371">
        <v>17</v>
      </c>
      <c r="B23" s="369" t="s">
        <v>671</v>
      </c>
      <c r="C23" s="370" t="s">
        <v>672</v>
      </c>
      <c r="D23" s="425">
        <f>(D21+'2-Отчет за доходите'!C14)/'2-Отчет за доходите'!G31</f>
        <v>0.17353327198394858</v>
      </c>
    </row>
    <row r="24" spans="1:4" ht="31.5">
      <c r="A24" s="371">
        <v>18</v>
      </c>
      <c r="B24" s="369" t="s">
        <v>673</v>
      </c>
      <c r="C24" s="370" t="s">
        <v>674</v>
      </c>
      <c r="D24" s="425">
        <f>('1-Баланс'!G56+'1-Баланс'!G79)/(D21+'2-Отчет за доходите'!C14)</f>
        <v>11.035903677301574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4145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7163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13298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12030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256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15711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21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52624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1086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2150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3823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2337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8310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1713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69830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72534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72534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67144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2366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4575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2790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76877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149454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219284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26455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17853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15018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44308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13750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13750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5931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19681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92338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3015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7499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16703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395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31612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1334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32946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345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85694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135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84073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501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398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587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7736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208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93983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17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94000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219284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35161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1770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3867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4860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1238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171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10525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57592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1705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736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323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2764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60356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5931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60356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5931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5931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5931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66287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58876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258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5478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64612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51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1388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236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1624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66287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66287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66287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102824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-110634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-5220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-7626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30842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10186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-9820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-9820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549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-343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-283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-532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-609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-243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286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43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26461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26461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-6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26455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26455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15018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15018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15018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15018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16425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16425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5931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-2681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-283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-2398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6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19681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19681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-2398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-2398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2398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2398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86690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86690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5931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-283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-283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92338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92338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2021-10-22T12:35:46Z</cp:lastPrinted>
  <dcterms:created xsi:type="dcterms:W3CDTF">2006-09-16T00:00:00Z</dcterms:created>
  <dcterms:modified xsi:type="dcterms:W3CDTF">2021-11-01T09:37:56Z</dcterms:modified>
  <cp:category/>
  <cp:version/>
  <cp:contentType/>
  <cp:contentStatus/>
</cp:coreProperties>
</file>