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капитал'!$A$1:$M$47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<sst xmlns="http://schemas.openxmlformats.org/spreadsheetml/2006/main" count="4167" uniqueCount="971">
  <si>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</si>
  <si>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</si>
  <si>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</si>
  <si>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</si>
  <si>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</si>
  <si>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</si>
  <si>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</si>
  <si>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</si>
  <si>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</si>
  <si>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</si>
  <si>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</si>
  <si>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</si>
  <si>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</si>
  <si>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</si>
  <si>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</si>
  <si>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</si>
  <si>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</si>
  <si>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</si>
  <si>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</si>
  <si>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</si>
  <si>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</si>
  <si>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</si>
  <si>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</si>
  <si>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</si>
  <si>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</si>
  <si>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</si>
  <si>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</si>
  <si>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</si>
  <si>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</si>
  <si>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</si>
  <si>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</si>
  <si>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</si>
  <si>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</si>
  <si>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</si>
  <si>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</si>
  <si>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</si>
  <si>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</si>
  <si>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</si>
  <si>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</si>
  <si>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</si>
  <si>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</si>
  <si>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</si>
  <si>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</si>
  <si>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</si>
  <si>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</si>
  <si>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</si>
  <si>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</si>
  <si>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</si>
  <si>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</si>
  <si>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</si>
  <si>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</si>
  <si>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</si>
  <si>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</si>
  <si>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</si>
  <si>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</si>
  <si>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</si>
  <si>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</si>
  <si>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</si>
  <si>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</si>
  <si>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</si>
  <si>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</si>
  <si>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</si>
  <si>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</si>
  <si>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</si>
  <si>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</si>
  <si>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</si>
  <si>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</si>
  <si>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</si>
  <si>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</si>
  <si>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</si>
  <si>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</si>
  <si>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</si>
  <si>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</si>
  <si>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</si>
  <si>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</si>
  <si>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</si>
  <si>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</si>
  <si>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</si>
  <si>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</si>
  <si>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</si>
  <si>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</si>
  <si>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</si>
  <si>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</si>
  <si>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</si>
  <si>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</si>
  <si>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</si>
  <si>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</si>
  <si>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</si>
  <si>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</si>
  <si>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</si>
  <si>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</si>
  <si>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</si>
  <si>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</si>
  <si>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</si>
  <si>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</si>
  <si>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</si>
  <si>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</si>
  <si>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</si>
  <si>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</si>
  <si>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</si>
  <si>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</si>
  <si>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</si>
  <si>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</si>
  <si>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</si>
  <si>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</si>
  <si>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</si>
  <si>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</si>
  <si>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</si>
  <si>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</si>
  <si>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</si>
  <si>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</si>
  <si>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</si>
  <si>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</si>
  <si>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</si>
  <si>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</si>
  <si>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</si>
  <si>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</si>
  <si>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</si>
  <si>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</si>
  <si>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</si>
  <si>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</si>
  <si>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</si>
  <si>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</si>
  <si>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</si>
  <si>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</si>
  <si>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</si>
  <si>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</si>
  <si>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</si>
  <si>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</si>
  <si>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</si>
  <si>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</si>
  <si>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</si>
  <si>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</si>
  <si>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</si>
  <si>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</si>
  <si>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</si>
  <si>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</si>
  <si>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</si>
  <si>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</si>
  <si>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</si>
  <si>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</si>
  <si>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</si>
  <si>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</si>
  <si>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</si>
  <si>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</si>
  <si>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</si>
  <si>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</si>
  <si>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</si>
  <si>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</si>
  <si>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</si>
  <si>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</si>
  <si>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</si>
  <si>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</si>
  <si>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</si>
  <si>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</si>
  <si>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</si>
  <si>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</si>
  <si>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</si>
  <si>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</si>
  <si>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</si>
  <si>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</si>
  <si>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</si>
  <si>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</si>
  <si>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</si>
  <si>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</si>
  <si>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</si>
  <si>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</si>
  <si>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</si>
  <si>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</si>
  <si>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</si>
  <si>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</si>
  <si>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</si>
  <si>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</si>
  <si>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</si>
  <si>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</si>
  <si>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</si>
  <si>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</si>
  <si>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</si>
  <si>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</si>
  <si>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</si>
  <si>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</si>
  <si>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</si>
  <si>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</si>
  <si>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</si>
  <si>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</si>
  <si>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</si>
  <si>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</si>
  <si>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</si>
  <si>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</si>
  <si>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</si>
  <si>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</si>
  <si>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</si>
  <si>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</si>
  <si>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</si>
  <si>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</si>
  <si>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</si>
  <si>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</si>
  <si>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</si>
  <si>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</si>
  <si>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</si>
  <si>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</si>
  <si>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</si>
  <si>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</si>
  <si>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</si>
  <si>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</si>
  <si>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</si>
  <si>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</si>
  <si>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</si>
  <si>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</si>
  <si>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</si>
  <si>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</si>
  <si>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</si>
  <si>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</si>
  <si>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</si>
  <si>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</si>
  <si>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</si>
  <si>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</si>
  <si>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</si>
  <si>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</si>
  <si>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</si>
  <si>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</si>
  <si>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</si>
  <si>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</si>
  <si>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</si>
  <si>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</si>
  <si>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</si>
  <si>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</si>
  <si>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</si>
  <si>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</si>
  <si>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</si>
  <si>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</si>
  <si>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</si>
  <si>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</si>
  <si>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</si>
  <si>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</si>
  <si>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</si>
  <si>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</si>
  <si>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</si>
  <si>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</si>
  <si>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</si>
  <si>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</si>
  <si>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</si>
  <si>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</si>
  <si>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</si>
  <si>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</si>
  <si>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</si>
  <si>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</si>
  <si>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</si>
  <si>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</si>
  <si>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</si>
  <si>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</si>
  <si>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</si>
  <si>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</si>
  <si>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</si>
  <si>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</si>
  <si>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</si>
  <si>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</si>
  <si>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</si>
  <si>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</si>
  <si>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</si>
  <si>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</si>
  <si>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</si>
  <si>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</si>
  <si>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</si>
  <si>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</si>
  <si>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</si>
  <si>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</si>
  <si>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</si>
  <si>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</si>
  <si>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</si>
  <si>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</si>
  <si>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</si>
  <si>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</si>
  <si>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</si>
  <si>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</si>
  <si>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</si>
  <si>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</si>
  <si>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</si>
  <si>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</si>
  <si>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</si>
  <si>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</si>
  <si>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</si>
  <si>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</si>
  <si>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</si>
  <si>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</si>
  <si>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</si>
  <si>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</si>
  <si>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</si>
  <si>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</si>
  <si>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</si>
  <si>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</si>
  <si>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</si>
  <si>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</si>
  <si>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</si>
  <si>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</si>
  <si>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</si>
  <si>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</si>
  <si>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</si>
  <si>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</si>
  <si>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</si>
  <si>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</si>
  <si>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</si>
  <si>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</si>
  <si>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</si>
  <si>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</si>
  <si>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</si>
  <si>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</si>
  <si>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</si>
  <si>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</si>
  <si>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</si>
  <si>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</si>
  <si>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</si>
  <si>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</si>
  <si>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</si>
  <si>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</si>
  <si>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</si>
  <si>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</si>
  <si>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</si>
  <si>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</si>
  <si>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</si>
  <si>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</si>
  <si>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</si>
  <si>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</si>
  <si>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</si>
  <si>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</si>
  <si>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</si>
  <si>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</si>
  <si>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</si>
  <si>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</si>
  <si>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</si>
  <si>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</si>
  <si>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</si>
  <si>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</si>
  <si>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</si>
  <si>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</si>
  <si>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</si>
  <si>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</si>
  <si>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</si>
  <si>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</si>
  <si>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</si>
  <si>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</si>
  <si>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</si>
  <si>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</si>
  <si>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</si>
  <si>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</si>
  <si>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</si>
  <si>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</si>
  <si>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</si>
  <si>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</si>
  <si>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</si>
  <si>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</si>
  <si>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</si>
  <si>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</si>
  <si>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</si>
  <si>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</si>
  <si>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</si>
  <si>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</si>
  <si>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</si>
  <si>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</si>
  <si>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</si>
  <si>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</si>
  <si>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</si>
  <si>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</si>
  <si>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</si>
  <si>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</si>
  <si>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</si>
  <si>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</si>
  <si>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</si>
  <si>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</si>
  <si>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</si>
  <si>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</si>
  <si>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</si>
  <si>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</si>
  <si>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</si>
  <si>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</si>
  <si>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</si>
  <si>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</si>
  <si>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</si>
  <si>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</si>
  <si>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</si>
  <si>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</si>
  <si>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</si>
  <si>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</si>
  <si>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</si>
  <si>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</si>
  <si>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</si>
  <si>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</si>
  <si>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</si>
  <si>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</si>
  <si>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</si>
  <si>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</si>
  <si>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</si>
  <si>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</si>
  <si>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</si>
  <si>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</si>
  <si>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</si>
  <si>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</si>
  <si>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</si>
  <si>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</si>
  <si>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</si>
  <si>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</si>
  <si>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</si>
  <si>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</si>
  <si>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</si>
  <si>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</si>
  <si>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</si>
  <si>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</si>
  <si>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</si>
  <si>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</si>
  <si>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</si>
  <si>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</si>
  <si>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</si>
  <si>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</si>
  <si>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</si>
  <si>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</si>
  <si>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</si>
  <si>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</si>
  <si>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</si>
  <si>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</si>
  <si>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</si>
  <si>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</si>
  <si>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</si>
  <si>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</si>
  <si>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</si>
  <si>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</si>
  <si>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</si>
  <si>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</si>
  <si>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</si>
  <si>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</si>
  <si>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</si>
  <si>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</si>
  <si>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</si>
  <si>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</si>
  <si>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</si>
  <si>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</si>
  <si>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</si>
  <si>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</si>
  <si>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</si>
  <si>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</si>
  <si>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</si>
  <si>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</si>
  <si>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</si>
  <si>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</si>
  <si>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</si>
  <si>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</si>
  <si>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</si>
  <si>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</si>
  <si>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</si>
  <si>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</si>
  <si>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</si>
  <si>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</si>
  <si>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</si>
  <si>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</si>
  <si>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</si>
  <si>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</si>
  <si>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</si>
  <si>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</si>
  <si>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</si>
  <si>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</si>
  <si>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</si>
  <si>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</si>
  <si>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</si>
  <si>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</si>
  <si>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</si>
  <si>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</si>
  <si>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</si>
  <si>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</si>
  <si>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</si>
  <si>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</si>
  <si>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</si>
  <si>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</si>
  <si>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</si>
  <si>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</si>
  <si>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</si>
  <si>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</si>
  <si>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</si>
  <si>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</si>
  <si>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</si>
  <si>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</si>
  <si>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</si>
  <si>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</si>
  <si>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</si>
  <si>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</si>
  <si>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</si>
  <si>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</si>
  <si>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</si>
  <si>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</si>
  <si>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</si>
  <si>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</si>
  <si>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</si>
  <si>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</si>
  <si>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</si>
  <si>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</si>
  <si>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</si>
  <si>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</si>
  <si>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</si>
  <si>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</si>
  <si>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</si>
  <si>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</si>
  <si>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</si>
  <si>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</si>
  <si>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</si>
  <si>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</si>
  <si>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</si>
  <si>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</si>
  <si>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</si>
  <si>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</si>
  <si>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</si>
  <si>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</si>
  <si>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</si>
  <si>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</si>
  <si>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</si>
  <si>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</si>
  <si>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</si>
  <si>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</si>
  <si>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</si>
  <si>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</si>
  <si>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</si>
  <si>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</si>
  <si>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</si>
  <si>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</si>
  <si>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</si>
  <si>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</si>
  <si>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</si>
  <si>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</si>
  <si>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</si>
  <si>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</si>
  <si>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</si>
  <si>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</si>
  <si>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</si>
  <si>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</si>
  <si>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</si>
  <si>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</si>
  <si>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</si>
  <si>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</si>
  <si>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</si>
  <si>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</si>
  <si>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</si>
  <si>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</si>
  <si>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</si>
  <si>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</si>
  <si>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</si>
  <si>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</si>
  <si>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</si>
  <si>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</si>
  <si>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</si>
  <si>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</si>
  <si>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</si>
  <si>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</si>
  <si>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</si>
  <si>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</si>
  <si>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</si>
  <si>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</si>
  <si>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</si>
  <si>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</si>
  <si>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</si>
  <si>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</si>
  <si>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</si>
  <si>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</si>
  <si>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</si>
  <si>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</si>
  <si>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</si>
  <si>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</si>
  <si>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</si>
  <si>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</si>
  <si>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</si>
  <si>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</si>
  <si>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</si>
  <si>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</si>
  <si>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</si>
  <si>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</si>
  <si>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</si>
  <si>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</si>
  <si>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</si>
  <si>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</si>
  <si>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</si>
  <si>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</si>
  <si>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</si>
  <si>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</si>
  <si>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</si>
  <si>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</si>
  <si>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</si>
  <si>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</si>
  <si>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</si>
  <si>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</si>
  <si>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</si>
  <si>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</si>
  <si>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</si>
  <si>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</si>
  <si>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</si>
  <si>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</si>
  <si>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</si>
  <si>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</si>
  <si>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</si>
  <si>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</si>
  <si>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</si>
  <si>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</si>
  <si>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</si>
  <si>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</si>
  <si>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</si>
  <si>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</si>
  <si>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</si>
  <si>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</si>
  <si>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</si>
  <si>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</si>
  <si>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</si>
  <si>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</si>
  <si>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</si>
  <si>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</si>
  <si>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</si>
  <si>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</si>
  <si>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</si>
  <si>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</si>
  <si>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</si>
  <si>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</si>
  <si>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</si>
  <si>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</si>
  <si>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</si>
  <si>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</si>
  <si>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</si>
  <si>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</si>
  <si>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</si>
  <si>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</si>
  <si>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</si>
  <si>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</si>
  <si>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</si>
  <si>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</si>
  <si>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</si>
  <si>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</si>
  <si>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</si>
  <si>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</si>
  <si>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</si>
  <si>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</si>
  <si>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</si>
  <si>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</si>
  <si>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</si>
  <si>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</si>
  <si>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</si>
  <si>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</si>
  <si>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</si>
  <si>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</si>
  <si>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</si>
  <si>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</si>
  <si>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</si>
  <si>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</si>
  <si>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</si>
  <si>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</si>
  <si>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</si>
  <si>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</si>
  <si>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</si>
  <si>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</si>
  <si>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</si>
  <si>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</si>
  <si>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</si>
  <si>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</si>
  <si>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</si>
  <si>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</si>
  <si>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</si>
  <si>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</si>
  <si>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</si>
  <si>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</si>
  <si>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</si>
  <si>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</si>
  <si>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</si>
  <si>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</si>
  <si>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</si>
  <si>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</si>
  <si>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</si>
  <si>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</si>
  <si>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</si>
  <si>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</si>
  <si>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</si>
  <si>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</si>
  <si>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</si>
  <si>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</si>
  <si>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</si>
  <si>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</si>
  <si>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</si>
  <si>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</si>
  <si>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</si>
  <si>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</si>
  <si>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</si>
  <si>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</si>
  <si>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</si>
  <si>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</si>
  <si>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</si>
  <si>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</si>
  <si>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</si>
  <si>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</si>
  <si>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</si>
  <si>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</si>
  <si>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</si>
  <si>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</si>
  <si>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</si>
  <si>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</si>
  <si>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</si>
  <si>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</si>
  <si>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</si>
  <si>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</si>
  <si>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</si>
  <si>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</si>
  <si>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</si>
  <si>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</si>
  <si>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</si>
  <si>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</si>
  <si>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</si>
  <si>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</si>
  <si>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</si>
  <si>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</si>
  <si>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</si>
  <si>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</si>
  <si>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</si>
  <si>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</si>
  <si>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</si>
  <si>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</si>
  <si>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</si>
  <si>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</si>
  <si>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</si>
  <si>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</si>
  <si>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</si>
  <si>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</si>
  <si>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</si>
  <si>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</si>
  <si>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</si>
  <si>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</si>
  <si>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</si>
  <si>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</si>
  <si>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</si>
  <si>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</si>
  <si>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</si>
  <si>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</si>
  <si>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</si>
  <si>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</si>
  <si>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</si>
  <si>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</si>
  <si>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</si>
  <si>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</si>
  <si>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</si>
  <si>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</si>
  <si>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</si>
  <si>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</si>
  <si>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</si>
  <si>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</si>
  <si>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</si>
  <si>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</si>
  <si>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</si>
  <si>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</si>
  <si>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</si>
  <si>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</si>
  <si>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</si>
  <si>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</si>
  <si>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</si>
  <si>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</si>
  <si>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</si>
  <si>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</si>
  <si>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</si>
  <si>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</si>
  <si>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</si>
  <si>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</si>
  <si>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</si>
  <si>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</si>
  <si>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</si>
  <si>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</si>
  <si>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</si>
  <si>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</si>
  <si>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</si>
  <si>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</si>
  <si>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</si>
  <si>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</si>
  <si>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</si>
  <si>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</si>
  <si>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</si>
  <si>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</si>
  <si>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</si>
  <si>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</si>
  <si>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</si>
  <si>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</si>
  <si>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</si>
  <si>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</si>
  <si>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</si>
  <si>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</si>
  <si>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</si>
  <si>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</si>
  <si>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</si>
  <si>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</si>
  <si>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</si>
  <si>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</si>
  <si>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</si>
  <si>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</si>
  <si>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</si>
  <si>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</si>
  <si>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</si>
  <si>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</si>
  <si>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</si>
  <si>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</si>
  <si>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</si>
  <si>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</si>
  <si>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</si>
  <si>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</si>
  <si>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</si>
  <si>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</si>
  <si>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</si>
  <si>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</si>
  <si>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</si>
  <si>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</si>
  <si>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</si>
  <si>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</si>
  <si>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</si>
  <si>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</si>
  <si>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</si>
  <si>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</si>
  <si>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</si>
  <si>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</si>
  <si>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</si>
  <si>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</si>
  <si>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</si>
  <si>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</si>
  <si>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</si>
  <si>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</si>
  <si>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</si>
  <si>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</si>
  <si>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</si>
  <si>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</si>
  <si>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</si>
  <si>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</si>
  <si>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</si>
  <si>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</si>
  <si>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</si>
  <si>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</si>
  <si>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</si>
  <si>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</si>
  <si>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</si>
  <si>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</si>
  <si>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</si>
  <si>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</si>
  <si>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</si>
  <si>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</si>
  <si>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</si>
  <si>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</si>
  <si>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</si>
  <si>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</si>
  <si>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</si>
  <si>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</si>
  <si>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</si>
  <si>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</si>
  <si>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</si>
  <si>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</si>
  <si>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</si>
  <si>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</si>
  <si>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</si>
  <si>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</si>
  <si>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</si>
  <si>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</si>
  <si>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</si>
  <si>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</si>
  <si>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</si>
  <si>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</si>
  <si>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</si>
  <si>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</si>
  <si>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</si>
  <si>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</si>
  <si>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</si>
  <si>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</si>
  <si>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</si>
  <si>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</si>
  <si>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</si>
  <si>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</si>
  <si>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</si>
  <si>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</si>
  <si>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</si>
  <si>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</si>
  <si>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</si>
  <si>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</si>
  <si>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</si>
  <si>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</si>
  <si>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</si>
  <si>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</si>
  <si>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</si>
  <si>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</si>
  <si>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</si>
  <si>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</si>
  <si>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</si>
  <si>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</si>
  <si>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</si>
  <si>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</si>
  <si>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</si>
  <si>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</si>
  <si>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</si>
  <si>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</si>
  <si>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</si>
  <si>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</si>
  <si>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</si>
  <si>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</si>
  <si>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</si>
  <si>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</si>
  <si>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</si>
  <si>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</si>
  <si>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</si>
  <si>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</si>
  <si>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</si>
  <si>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</si>
  <si>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</si>
  <si>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</si>
  <si>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</si>
  <si>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</si>
  <si>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</si>
  <si>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</si>
  <si>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</si>
  <si>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</si>
  <si>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</si>
  <si>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</si>
  <si>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</si>
  <si>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</si>
  <si>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</si>
  <si>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</si>
  <si>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</si>
  <si>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</si>
  <si>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</si>
  <si>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</si>
  <si>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</si>
  <si>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</si>
  <si>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</si>
  <si>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</si>
  <si>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</si>
  <si>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</si>
  <si>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</si>
  <si>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</si>
  <si>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</si>
  <si>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</si>
  <si>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</si>
  <si>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</si>
  <si>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</si>
  <si>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</si>
  <si>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</si>
  <si>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</si>
  <si>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</si>
  <si>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</si>
  <si>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</si>
  <si>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</si>
  <si>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</si>
  <si>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</si>
  <si>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</si>
  <si>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</si>
  <si>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</si>
  <si>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</si>
  <si>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</si>
  <si>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</si>
  <si>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</si>
  <si>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</si>
  <si>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</si>
  <si>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</si>
  <si>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</si>
  <si>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</si>
  <si>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</si>
  <si>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</si>
  <si>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</si>
  <si>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</si>
  <si>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</si>
  <si>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</si>
  <si>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</si>
  <si>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</si>
  <si>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</si>
  <si>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</si>
  <si>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</si>
  <si>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</si>
  <si>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</si>
  <si>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082/883-322</t>
  </si>
  <si>
    <t>082/844-068</t>
  </si>
  <si>
    <t>toplo@toplo-ruse.com</t>
  </si>
  <si>
    <t>ПАВЛИНА ЛЮБЕНОВА ПЕТРОВА</t>
  </si>
  <si>
    <t>РЪКОВОДИТЕЛ НАПРАВЛЕНИЕ ФИД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</si>
</sst>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45107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45163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ПАВЛИНА ЛЮБЕНОВА ПЕТРОВА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65" t="s">
        <v>968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0.06806010565636296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0.08527202229492306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0.015289772418662756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0.012965061117712623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1.0728802588996764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1.8868364970559803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0.25526737850426223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0.01905923191844626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0.01905923191844626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0.21717875811588153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0.1904942843194149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0.7381870092790863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5.5770628862231915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0.8479564484483378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12485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0.18909790379256028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0.17690637065637066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25.113899877233667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4949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9241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20476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15665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697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31552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62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82642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1088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105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109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523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1636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2159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4530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90719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296243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807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297050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32175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2280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823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7727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43005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3470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3470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343525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434244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25850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17613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14778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43463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-11418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14620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-26038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5630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-5788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66024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4741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142179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7552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158472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26486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1198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186156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690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174800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533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539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171284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931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395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1118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6149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391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182030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34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182064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434244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33404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4371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2177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5131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1282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1695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54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21649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69763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6855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611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7487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77250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5630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77250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5630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5630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5630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82880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79525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1633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1213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350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82721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74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85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85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82880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82880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82880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59352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-53277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-5818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-9781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19542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10018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-7264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-7264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-687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-738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-1425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1329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2141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3470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3470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25850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25850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25850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25850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14778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14778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14778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14778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29080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29080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5630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-14460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20250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20250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-40498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-40498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14521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-61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-26038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-26038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60394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60394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5630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61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-61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66024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66024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4949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14154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82950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25980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779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254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25536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27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154629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1088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809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1139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157047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22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144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53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332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14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6574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7139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7139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558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558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558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4949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14176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83094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26033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1111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268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31552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27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161210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1088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809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1139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163628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4949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14176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83094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26033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1111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268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31552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27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161210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1088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809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1139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163628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4699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61346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9780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379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227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76433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326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662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988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77421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236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1272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588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35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2135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42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42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2177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4935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62618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10368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414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230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78568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326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704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1030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79598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4935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62618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10368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414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230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78568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326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704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1030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79598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4949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9241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20476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15665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697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38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31552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24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82642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1088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105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109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84030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523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1636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1636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2159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4530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30539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1636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416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1864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823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823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7727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7727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43005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49694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30539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1636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416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1864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823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823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7727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7727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43005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43005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523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1636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1636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2159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4530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6689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4741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4724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17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142179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7552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158472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533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533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690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687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3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174267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539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171156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128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931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1118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953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165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395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6149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181639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340111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533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533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690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687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3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174267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539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171156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128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931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1118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953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165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395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6149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181639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181639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4741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4724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17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142179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7552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158472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158472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26937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26937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60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60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26877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26877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0" zoomScaleSheetLayoutView="90" zoomScalePageLayoutView="0" workbookViewId="0" topLeftCell="A35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4949</v>
      </c>
      <c r="D12" s="188">
        <v>4949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9241</v>
      </c>
      <c r="D13" s="188">
        <v>9455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20476</v>
      </c>
      <c r="D14" s="188">
        <v>21604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15665</v>
      </c>
      <c r="D15" s="188">
        <v>16200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697</v>
      </c>
      <c r="D16" s="188">
        <v>400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31552</v>
      </c>
      <c r="D18" s="188">
        <v>25536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62</v>
      </c>
      <c r="D19" s="188">
        <v>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82642</v>
      </c>
      <c r="D20" s="567">
        <f>SUM(D12:D19)</f>
        <v>78196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1088</v>
      </c>
      <c r="D21" s="464">
        <v>1088</v>
      </c>
      <c r="E21" s="84" t="s">
        <v>58</v>
      </c>
      <c r="F21" s="87" t="s">
        <v>59</v>
      </c>
      <c r="G21" s="188">
        <v>25850</v>
      </c>
      <c r="H21" s="188">
        <v>25850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17613</v>
      </c>
      <c r="H22" s="583">
        <f>SUM(H23:H25)</f>
        <v>17613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v>4</v>
      </c>
      <c r="D24" s="188">
        <v>4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105</v>
      </c>
      <c r="D25" s="188">
        <v>147</v>
      </c>
      <c r="E25" s="84" t="s">
        <v>73</v>
      </c>
      <c r="F25" s="87" t="s">
        <v>74</v>
      </c>
      <c r="G25" s="188">
        <v>14778</v>
      </c>
      <c r="H25" s="188">
        <v>14778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43463</v>
      </c>
      <c r="H26" s="567">
        <f>H20+H21+H22</f>
        <v>43463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109</v>
      </c>
      <c r="D28" s="567">
        <f>SUM(D24:D27)</f>
        <v>151</v>
      </c>
      <c r="E28" s="193" t="s">
        <v>84</v>
      </c>
      <c r="F28" s="87" t="s">
        <v>85</v>
      </c>
      <c r="G28" s="564">
        <f>SUM(G29:G31)</f>
        <v>-11418</v>
      </c>
      <c r="H28" s="565">
        <f>SUM(H29:H31)</f>
        <v>-26143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14620</v>
      </c>
      <c r="H29" s="188">
        <v>14355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-26038</v>
      </c>
      <c r="H30" s="188">
        <v>-40498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7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5630</v>
      </c>
      <c r="H32" s="188">
        <v>14725</v>
      </c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-5788</v>
      </c>
      <c r="H34" s="567">
        <f>H28+H32+H33</f>
        <v>-11418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66024</v>
      </c>
      <c r="H37" s="569">
        <f>H26+H18+H34</f>
        <v>60394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4741</v>
      </c>
      <c r="H45" s="188">
        <v>4741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142179</v>
      </c>
      <c r="H47" s="188">
        <v>163415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523</v>
      </c>
      <c r="D49" s="188">
        <v>2118</v>
      </c>
      <c r="E49" s="84" t="s">
        <v>150</v>
      </c>
      <c r="F49" s="87" t="s">
        <v>151</v>
      </c>
      <c r="G49" s="188">
        <v>7552</v>
      </c>
      <c r="H49" s="188">
        <v>11879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158472</v>
      </c>
      <c r="H50" s="565">
        <f>SUM(H44:H49)</f>
        <v>184035</v>
      </c>
    </row>
    <row r="51" spans="1:8" ht="15.75">
      <c r="A51" s="84" t="s">
        <v>79</v>
      </c>
      <c r="B51" s="86" t="s">
        <v>155</v>
      </c>
      <c r="C51" s="188">
        <v>1636</v>
      </c>
      <c r="D51" s="188">
        <v>1649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2159</v>
      </c>
      <c r="D52" s="567">
        <f>SUM(D48:D51)</f>
        <v>3767</v>
      </c>
      <c r="E52" s="192" t="s">
        <v>158</v>
      </c>
      <c r="F52" s="89" t="s">
        <v>159</v>
      </c>
      <c r="G52" s="188">
        <v>26486</v>
      </c>
      <c r="H52" s="188">
        <v>26486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4530</v>
      </c>
      <c r="D55" s="465">
        <v>4530</v>
      </c>
      <c r="E55" s="84" t="s">
        <v>168</v>
      </c>
      <c r="F55" s="89" t="s">
        <v>169</v>
      </c>
      <c r="G55" s="188">
        <v>1198</v>
      </c>
      <c r="H55" s="188">
        <v>1198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90719</v>
      </c>
      <c r="D56" s="571">
        <f>D20+D21+D22+D28+D33+D46+D52+D54+D55</f>
        <v>87923</v>
      </c>
      <c r="E56" s="94" t="s">
        <v>825</v>
      </c>
      <c r="F56" s="93" t="s">
        <v>172</v>
      </c>
      <c r="G56" s="568">
        <f>G50+G52+G53+G54+G55</f>
        <v>186156</v>
      </c>
      <c r="H56" s="569">
        <f>H50+H52+H53+H54+H55</f>
        <v>211719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296243</v>
      </c>
      <c r="D59" s="188">
        <v>338609</v>
      </c>
      <c r="E59" s="192" t="s">
        <v>180</v>
      </c>
      <c r="F59" s="473" t="s">
        <v>181</v>
      </c>
      <c r="G59" s="188">
        <v>690</v>
      </c>
      <c r="H59" s="188">
        <v>1379</v>
      </c>
    </row>
    <row r="60" spans="1:13" ht="15.75">
      <c r="A60" s="84" t="s">
        <v>178</v>
      </c>
      <c r="B60" s="86" t="s">
        <v>179</v>
      </c>
      <c r="C60" s="188">
        <v>807</v>
      </c>
      <c r="D60" s="188">
        <v>861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174800</v>
      </c>
      <c r="H61" s="565">
        <f>SUM(H62:H68)</f>
        <v>166369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533</v>
      </c>
      <c r="H62" s="188">
        <v>533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539</v>
      </c>
      <c r="H63" s="188">
        <v>52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171284</v>
      </c>
      <c r="H64" s="188">
        <v>163444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297050</v>
      </c>
      <c r="D65" s="567">
        <f>SUM(D59:D64)</f>
        <v>339470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931</v>
      </c>
      <c r="H66" s="188">
        <v>1347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395</v>
      </c>
      <c r="H67" s="188">
        <v>809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1118</v>
      </c>
      <c r="H68" s="188">
        <v>184</v>
      </c>
    </row>
    <row r="69" spans="1:8" ht="15.75">
      <c r="A69" s="84" t="s">
        <v>210</v>
      </c>
      <c r="B69" s="86" t="s">
        <v>211</v>
      </c>
      <c r="C69" s="188">
        <v>32175</v>
      </c>
      <c r="D69" s="188">
        <v>35102</v>
      </c>
      <c r="E69" s="192" t="s">
        <v>79</v>
      </c>
      <c r="F69" s="87" t="s">
        <v>216</v>
      </c>
      <c r="G69" s="188">
        <v>6149</v>
      </c>
      <c r="H69" s="188">
        <v>34486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391</v>
      </c>
      <c r="H70" s="188">
        <v>451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182030</v>
      </c>
      <c r="H71" s="567">
        <f>H59+H60+H61+H69+H70</f>
        <v>202685</v>
      </c>
    </row>
    <row r="72" spans="1:8" ht="15.75">
      <c r="A72" s="84" t="s">
        <v>221</v>
      </c>
      <c r="B72" s="86" t="s">
        <v>222</v>
      </c>
      <c r="C72" s="188">
        <v>2280</v>
      </c>
      <c r="D72" s="188">
        <v>2407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823</v>
      </c>
      <c r="D73" s="188">
        <v>3089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7727</v>
      </c>
      <c r="D75" s="188">
        <v>4734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43005</v>
      </c>
      <c r="D76" s="567">
        <f>SUM(D68:D75)</f>
        <v>45332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34</v>
      </c>
      <c r="H77" s="466">
        <v>68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182064</v>
      </c>
      <c r="H79" s="569">
        <f>H71+H73+H75+H77</f>
        <v>202753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3470</v>
      </c>
      <c r="D88" s="188">
        <v>2141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3470</v>
      </c>
      <c r="D92" s="567">
        <f>SUM(D88:D91)</f>
        <v>2141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343525</v>
      </c>
      <c r="D94" s="571">
        <f>D65+D76+D85+D92+D93</f>
        <v>386943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434244</v>
      </c>
      <c r="D95" s="573">
        <f>D94+D56</f>
        <v>474866</v>
      </c>
      <c r="E95" s="220" t="s">
        <v>915</v>
      </c>
      <c r="F95" s="476" t="s">
        <v>268</v>
      </c>
      <c r="G95" s="572">
        <f>G37+G40+G56+G79</f>
        <v>434244</v>
      </c>
      <c r="H95" s="573">
        <f>H37+H40+H56+H79</f>
        <v>474866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45163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ПАВЛИНА ЛЮБЕНОВА ПЕТРОВА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964</v>
      </c>
      <c r="C103" s="668"/>
      <c r="D103" s="668"/>
      <c r="E103" s="668"/>
      <c r="M103" s="92"/>
    </row>
    <row r="104" spans="1:5" ht="21.75" customHeight="1">
      <c r="A104" s="660"/>
      <c r="B104" s="668"/>
      <c r="C104" s="668"/>
      <c r="D104" s="668"/>
      <c r="E104" s="668"/>
    </row>
    <row r="105" spans="1:13" ht="21.75" customHeight="1">
      <c r="A105" s="660"/>
      <c r="B105" s="668"/>
      <c r="C105" s="668"/>
      <c r="D105" s="668"/>
      <c r="E105" s="668"/>
      <c r="M105" s="92"/>
    </row>
    <row r="106" spans="1:5" ht="21.75" customHeight="1">
      <c r="A106" s="660"/>
      <c r="B106" s="668"/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.15748031496062992" footer="0.15748031496062992"/>
  <pageSetup fitToHeight="2" horizontalDpi="600" verticalDpi="600" orientation="landscape" paperSize="9" scale="60" r:id="rId1"/>
  <rowBreaks count="2" manualBreakCount="2">
    <brk id="56" max="7" man="1"/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Normal="90" zoomScaleSheetLayoutView="100" zoomScalePageLayoutView="0" workbookViewId="0" topLeftCell="A1">
      <selection activeCell="G62" sqref="G6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33404</v>
      </c>
      <c r="D12" s="307">
        <v>36976</v>
      </c>
      <c r="E12" s="185" t="s">
        <v>277</v>
      </c>
      <c r="F12" s="231" t="s">
        <v>278</v>
      </c>
      <c r="G12" s="307">
        <v>79525</v>
      </c>
      <c r="H12" s="307">
        <v>46081</v>
      </c>
    </row>
    <row r="13" spans="1:8" ht="15.75">
      <c r="A13" s="185" t="s">
        <v>279</v>
      </c>
      <c r="B13" s="181" t="s">
        <v>280</v>
      </c>
      <c r="C13" s="307">
        <v>4371</v>
      </c>
      <c r="D13" s="307">
        <v>2491</v>
      </c>
      <c r="E13" s="185" t="s">
        <v>281</v>
      </c>
      <c r="F13" s="231" t="s">
        <v>282</v>
      </c>
      <c r="G13" s="307">
        <v>1633</v>
      </c>
      <c r="H13" s="307"/>
    </row>
    <row r="14" spans="1:8" ht="15.75">
      <c r="A14" s="185" t="s">
        <v>283</v>
      </c>
      <c r="B14" s="181" t="s">
        <v>284</v>
      </c>
      <c r="C14" s="307">
        <v>2177</v>
      </c>
      <c r="D14" s="307">
        <v>2303</v>
      </c>
      <c r="E14" s="236" t="s">
        <v>285</v>
      </c>
      <c r="F14" s="231" t="s">
        <v>286</v>
      </c>
      <c r="G14" s="307">
        <v>1213</v>
      </c>
      <c r="H14" s="307">
        <v>1034</v>
      </c>
    </row>
    <row r="15" spans="1:8" ht="15.75">
      <c r="A15" s="185" t="s">
        <v>287</v>
      </c>
      <c r="B15" s="181" t="s">
        <v>288</v>
      </c>
      <c r="C15" s="307">
        <v>5131</v>
      </c>
      <c r="D15" s="307">
        <v>4548</v>
      </c>
      <c r="E15" s="236" t="s">
        <v>79</v>
      </c>
      <c r="F15" s="231" t="s">
        <v>289</v>
      </c>
      <c r="G15" s="307">
        <v>350</v>
      </c>
      <c r="H15" s="307">
        <v>483</v>
      </c>
    </row>
    <row r="16" spans="1:8" ht="15.75">
      <c r="A16" s="185" t="s">
        <v>290</v>
      </c>
      <c r="B16" s="181" t="s">
        <v>291</v>
      </c>
      <c r="C16" s="307">
        <v>1282</v>
      </c>
      <c r="D16" s="307">
        <v>1142</v>
      </c>
      <c r="E16" s="227" t="s">
        <v>52</v>
      </c>
      <c r="F16" s="255" t="s">
        <v>292</v>
      </c>
      <c r="G16" s="597">
        <f>SUM(G12:G15)</f>
        <v>82721</v>
      </c>
      <c r="H16" s="598">
        <f>SUM(H12:H15)</f>
        <v>47598</v>
      </c>
    </row>
    <row r="17" spans="1:8" ht="31.5">
      <c r="A17" s="185" t="s">
        <v>293</v>
      </c>
      <c r="B17" s="181" t="s">
        <v>294</v>
      </c>
      <c r="C17" s="307">
        <v>1695</v>
      </c>
      <c r="D17" s="307">
        <v>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54</v>
      </c>
      <c r="D18" s="307">
        <v>-38</v>
      </c>
      <c r="E18" s="225" t="s">
        <v>297</v>
      </c>
      <c r="F18" s="229" t="s">
        <v>298</v>
      </c>
      <c r="G18" s="608">
        <v>74</v>
      </c>
      <c r="H18" s="609">
        <v>34</v>
      </c>
    </row>
    <row r="19" spans="1:8" ht="15.75">
      <c r="A19" s="185" t="s">
        <v>299</v>
      </c>
      <c r="B19" s="181" t="s">
        <v>300</v>
      </c>
      <c r="C19" s="307">
        <v>21649</v>
      </c>
      <c r="D19" s="307">
        <v>12062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69763</v>
      </c>
      <c r="D22" s="598">
        <f>SUM(D12:D18)+D19</f>
        <v>59491</v>
      </c>
      <c r="E22" s="185" t="s">
        <v>309</v>
      </c>
      <c r="F22" s="228" t="s">
        <v>310</v>
      </c>
      <c r="G22" s="307">
        <v>85</v>
      </c>
      <c r="H22" s="307">
        <v>428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6855</v>
      </c>
      <c r="D25" s="307">
        <v>2320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21</v>
      </c>
      <c r="D27" s="307">
        <v>3</v>
      </c>
      <c r="E27" s="227" t="s">
        <v>104</v>
      </c>
      <c r="F27" s="229" t="s">
        <v>326</v>
      </c>
      <c r="G27" s="597">
        <f>SUM(G22:G26)</f>
        <v>85</v>
      </c>
      <c r="H27" s="598">
        <f>SUM(H22:H26)</f>
        <v>428</v>
      </c>
    </row>
    <row r="28" spans="1:8" ht="15.75">
      <c r="A28" s="185" t="s">
        <v>79</v>
      </c>
      <c r="B28" s="228" t="s">
        <v>327</v>
      </c>
      <c r="C28" s="307">
        <v>611</v>
      </c>
      <c r="D28" s="307">
        <v>228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7487</v>
      </c>
      <c r="D29" s="598">
        <f>SUM(D25:D28)</f>
        <v>2551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77250</v>
      </c>
      <c r="D31" s="604">
        <f>D29+D22</f>
        <v>62042</v>
      </c>
      <c r="E31" s="242" t="s">
        <v>800</v>
      </c>
      <c r="F31" s="257" t="s">
        <v>331</v>
      </c>
      <c r="G31" s="244">
        <f>G16+G18+G27</f>
        <v>82880</v>
      </c>
      <c r="H31" s="245">
        <f>H16+H18+H27</f>
        <v>48060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5630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13982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77250</v>
      </c>
      <c r="D36" s="606">
        <f>D31-D34+D35</f>
        <v>62042</v>
      </c>
      <c r="E36" s="253" t="s">
        <v>346</v>
      </c>
      <c r="F36" s="247" t="s">
        <v>347</v>
      </c>
      <c r="G36" s="258">
        <f>G35-G34+G31</f>
        <v>82880</v>
      </c>
      <c r="H36" s="259">
        <f>H35-H34+H31</f>
        <v>48060</v>
      </c>
    </row>
    <row r="37" spans="1:8" ht="15.75">
      <c r="A37" s="252" t="s">
        <v>348</v>
      </c>
      <c r="B37" s="222" t="s">
        <v>349</v>
      </c>
      <c r="C37" s="603">
        <f>IF((G36-C36)&gt;0,G36-C36,0)</f>
        <v>5630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13982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5630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13982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5630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13982</v>
      </c>
    </row>
    <row r="45" spans="1:8" ht="16.5" thickBot="1">
      <c r="A45" s="261" t="s">
        <v>371</v>
      </c>
      <c r="B45" s="262" t="s">
        <v>372</v>
      </c>
      <c r="C45" s="599">
        <f>C36+C38+C42</f>
        <v>82880</v>
      </c>
      <c r="D45" s="600">
        <f>D36+D38+D42</f>
        <v>62042</v>
      </c>
      <c r="E45" s="261" t="s">
        <v>373</v>
      </c>
      <c r="F45" s="263" t="s">
        <v>374</v>
      </c>
      <c r="G45" s="599">
        <f>G42+G36</f>
        <v>82880</v>
      </c>
      <c r="H45" s="600">
        <f>H42+H36</f>
        <v>62042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45163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ПАВЛИНА ЛЮБЕНОВА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/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59352</v>
      </c>
      <c r="D11" s="188">
        <v>107116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-53277</v>
      </c>
      <c r="D12" s="188">
        <v>-139043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-5818</v>
      </c>
      <c r="D14" s="188">
        <v>-4763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-9781</v>
      </c>
      <c r="D15" s="188">
        <v>-15973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19542</v>
      </c>
      <c r="D20" s="188">
        <v>57824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10018</v>
      </c>
      <c r="D21" s="628">
        <f>SUM(D11:D20)</f>
        <v>5161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-7264</v>
      </c>
      <c r="D32" s="188">
        <v>-4048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-7264</v>
      </c>
      <c r="D33" s="628">
        <f>SUM(D23:D32)</f>
        <v>-4048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-687</v>
      </c>
      <c r="D38" s="188">
        <v>-687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-738</v>
      </c>
      <c r="D42" s="188">
        <v>-903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-1425</v>
      </c>
      <c r="D43" s="630">
        <f>SUM(D35:D42)</f>
        <v>-1590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1329</v>
      </c>
      <c r="D44" s="298">
        <f>D43+D33+D21</f>
        <v>-477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2141</v>
      </c>
      <c r="D45" s="300">
        <v>737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3470</v>
      </c>
      <c r="D46" s="302">
        <f>D45+D44</f>
        <v>260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3470</v>
      </c>
      <c r="D47" s="289">
        <v>260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45163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ПАВЛИНА ЛЮБЕНОВА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660"/>
      <c r="B62" s="668"/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1.1023622047244095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SheetLayoutView="80" zoomScalePageLayoutView="0" workbookViewId="0" topLeftCell="A10">
      <selection activeCell="I34" sqref="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25850</v>
      </c>
      <c r="F13" s="553">
        <f>'1-Баланс'!H23</f>
        <v>0</v>
      </c>
      <c r="G13" s="553">
        <f>'1-Баланс'!H24</f>
        <v>2835</v>
      </c>
      <c r="H13" s="554">
        <v>14778</v>
      </c>
      <c r="I13" s="553">
        <f>'1-Баланс'!H29+'1-Баланс'!H32</f>
        <v>29080</v>
      </c>
      <c r="J13" s="553">
        <f>'1-Баланс'!H30+'1-Баланс'!H33</f>
        <v>-40498</v>
      </c>
      <c r="K13" s="554"/>
      <c r="L13" s="553">
        <f>SUM(C13:K13)</f>
        <v>60394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28349</v>
      </c>
      <c r="D17" s="622">
        <f aca="true" t="shared" si="2" ref="D17:M17">D13+D14</f>
        <v>0</v>
      </c>
      <c r="E17" s="622">
        <f t="shared" si="2"/>
        <v>25850</v>
      </c>
      <c r="F17" s="622">
        <f t="shared" si="2"/>
        <v>0</v>
      </c>
      <c r="G17" s="622">
        <f t="shared" si="2"/>
        <v>2835</v>
      </c>
      <c r="H17" s="622">
        <f t="shared" si="2"/>
        <v>14778</v>
      </c>
      <c r="I17" s="622">
        <f t="shared" si="2"/>
        <v>29080</v>
      </c>
      <c r="J17" s="622">
        <f t="shared" si="2"/>
        <v>-40498</v>
      </c>
      <c r="K17" s="622">
        <f t="shared" si="2"/>
        <v>0</v>
      </c>
      <c r="L17" s="553">
        <f t="shared" si="1"/>
        <v>60394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5630</v>
      </c>
      <c r="J18" s="553">
        <f>+'1-Баланс'!G33</f>
        <v>0</v>
      </c>
      <c r="K18" s="554"/>
      <c r="L18" s="553">
        <f t="shared" si="1"/>
        <v>5630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f>-14725+265</f>
        <v>-14460</v>
      </c>
      <c r="J22" s="307">
        <v>14521</v>
      </c>
      <c r="K22" s="307"/>
      <c r="L22" s="553">
        <f t="shared" si="1"/>
        <v>61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-61</v>
      </c>
      <c r="K30" s="307"/>
      <c r="L30" s="553">
        <f t="shared" si="1"/>
        <v>-61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28349</v>
      </c>
      <c r="D31" s="622">
        <f aca="true" t="shared" si="6" ref="D31:M31">D19+D22+D23+D26+D30+D29+D17+D18</f>
        <v>0</v>
      </c>
      <c r="E31" s="622">
        <f t="shared" si="6"/>
        <v>25850</v>
      </c>
      <c r="F31" s="622">
        <f t="shared" si="6"/>
        <v>0</v>
      </c>
      <c r="G31" s="622">
        <f t="shared" si="6"/>
        <v>2835</v>
      </c>
      <c r="H31" s="622">
        <f t="shared" si="6"/>
        <v>14778</v>
      </c>
      <c r="I31" s="622">
        <f t="shared" si="6"/>
        <v>20250</v>
      </c>
      <c r="J31" s="622">
        <f t="shared" si="6"/>
        <v>-26038</v>
      </c>
      <c r="K31" s="622">
        <f t="shared" si="6"/>
        <v>0</v>
      </c>
      <c r="L31" s="553">
        <f t="shared" si="1"/>
        <v>66024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25850</v>
      </c>
      <c r="F34" s="556">
        <f t="shared" si="7"/>
        <v>0</v>
      </c>
      <c r="G34" s="556">
        <f t="shared" si="7"/>
        <v>2835</v>
      </c>
      <c r="H34" s="556">
        <f t="shared" si="7"/>
        <v>14778</v>
      </c>
      <c r="I34" s="556">
        <f t="shared" si="7"/>
        <v>20250</v>
      </c>
      <c r="J34" s="556">
        <f t="shared" si="7"/>
        <v>-26038</v>
      </c>
      <c r="K34" s="556">
        <f t="shared" si="7"/>
        <v>0</v>
      </c>
      <c r="L34" s="620">
        <f t="shared" si="1"/>
        <v>66024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45163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ПАВЛИНА ЛЮБЕНОВА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937007874015748" bottom="0.2362204724409449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C1">
      <selection activeCell="R18" activeCellId="1" sqref="R16 R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4949</v>
      </c>
      <c r="E11" s="319"/>
      <c r="F11" s="319"/>
      <c r="G11" s="320">
        <f>D11+E11-F11</f>
        <v>4949</v>
      </c>
      <c r="H11" s="319"/>
      <c r="I11" s="319"/>
      <c r="J11" s="320">
        <f>G11+H11-I11</f>
        <v>4949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14154</v>
      </c>
      <c r="E12" s="319">
        <v>22</v>
      </c>
      <c r="F12" s="319"/>
      <c r="G12" s="320">
        <f aca="true" t="shared" si="2" ref="G12:G41">D12+E12-F12</f>
        <v>14176</v>
      </c>
      <c r="H12" s="319"/>
      <c r="I12" s="319"/>
      <c r="J12" s="320">
        <f aca="true" t="shared" si="3" ref="J12:J41">G12+H12-I12</f>
        <v>14176</v>
      </c>
      <c r="K12" s="319">
        <v>4699</v>
      </c>
      <c r="L12" s="319">
        <f>153+83</f>
        <v>236</v>
      </c>
      <c r="M12" s="319"/>
      <c r="N12" s="320">
        <f aca="true" t="shared" si="4" ref="N12:N41">K12+L12-M12</f>
        <v>4935</v>
      </c>
      <c r="O12" s="319"/>
      <c r="P12" s="319"/>
      <c r="Q12" s="320">
        <f t="shared" si="0"/>
        <v>4935</v>
      </c>
      <c r="R12" s="331">
        <f t="shared" si="1"/>
        <v>9241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82950</v>
      </c>
      <c r="E13" s="319">
        <f>92+51+1</f>
        <v>144</v>
      </c>
      <c r="F13" s="319"/>
      <c r="G13" s="320">
        <f t="shared" si="2"/>
        <v>83094</v>
      </c>
      <c r="H13" s="319"/>
      <c r="I13" s="319"/>
      <c r="J13" s="320">
        <f t="shared" si="3"/>
        <v>83094</v>
      </c>
      <c r="K13" s="319">
        <v>61346</v>
      </c>
      <c r="L13" s="319">
        <f>1146+125+1</f>
        <v>1272</v>
      </c>
      <c r="M13" s="319"/>
      <c r="N13" s="320">
        <f t="shared" si="4"/>
        <v>62618</v>
      </c>
      <c r="O13" s="319"/>
      <c r="P13" s="319"/>
      <c r="Q13" s="320">
        <f t="shared" si="0"/>
        <v>62618</v>
      </c>
      <c r="R13" s="331">
        <f t="shared" si="1"/>
        <v>20476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25980</v>
      </c>
      <c r="E14" s="319">
        <v>53</v>
      </c>
      <c r="F14" s="319"/>
      <c r="G14" s="320">
        <f t="shared" si="2"/>
        <v>26033</v>
      </c>
      <c r="H14" s="319"/>
      <c r="I14" s="319"/>
      <c r="J14" s="320">
        <f t="shared" si="3"/>
        <v>26033</v>
      </c>
      <c r="K14" s="319">
        <v>9780</v>
      </c>
      <c r="L14" s="319">
        <f>543+45</f>
        <v>588</v>
      </c>
      <c r="M14" s="319"/>
      <c r="N14" s="320">
        <f t="shared" si="4"/>
        <v>10368</v>
      </c>
      <c r="O14" s="319"/>
      <c r="P14" s="319"/>
      <c r="Q14" s="320">
        <f t="shared" si="0"/>
        <v>10368</v>
      </c>
      <c r="R14" s="331">
        <f t="shared" si="1"/>
        <v>15665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779</v>
      </c>
      <c r="E15" s="319">
        <f>194+138</f>
        <v>332</v>
      </c>
      <c r="F15" s="319"/>
      <c r="G15" s="320">
        <f t="shared" si="2"/>
        <v>1111</v>
      </c>
      <c r="H15" s="319"/>
      <c r="I15" s="319"/>
      <c r="J15" s="320">
        <f t="shared" si="3"/>
        <v>1111</v>
      </c>
      <c r="K15" s="319">
        <v>379</v>
      </c>
      <c r="L15" s="319">
        <f>33+2</f>
        <v>35</v>
      </c>
      <c r="M15" s="319"/>
      <c r="N15" s="320">
        <f t="shared" si="4"/>
        <v>414</v>
      </c>
      <c r="O15" s="319"/>
      <c r="P15" s="319"/>
      <c r="Q15" s="320">
        <f t="shared" si="0"/>
        <v>414</v>
      </c>
      <c r="R15" s="331">
        <f t="shared" si="1"/>
        <v>697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254</v>
      </c>
      <c r="E16" s="319">
        <v>14</v>
      </c>
      <c r="F16" s="319"/>
      <c r="G16" s="320">
        <f t="shared" si="2"/>
        <v>268</v>
      </c>
      <c r="H16" s="319"/>
      <c r="I16" s="319"/>
      <c r="J16" s="320">
        <f t="shared" si="3"/>
        <v>268</v>
      </c>
      <c r="K16" s="319">
        <v>227</v>
      </c>
      <c r="L16" s="319">
        <v>3</v>
      </c>
      <c r="M16" s="319"/>
      <c r="N16" s="320">
        <f t="shared" si="4"/>
        <v>230</v>
      </c>
      <c r="O16" s="319"/>
      <c r="P16" s="319"/>
      <c r="Q16" s="320">
        <f t="shared" si="0"/>
        <v>230</v>
      </c>
      <c r="R16" s="331">
        <f t="shared" si="1"/>
        <v>38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25536</v>
      </c>
      <c r="E17" s="319">
        <f>6365+209</f>
        <v>6574</v>
      </c>
      <c r="F17" s="319">
        <f>353+205</f>
        <v>558</v>
      </c>
      <c r="G17" s="320">
        <f t="shared" si="2"/>
        <v>31552</v>
      </c>
      <c r="H17" s="319"/>
      <c r="I17" s="319"/>
      <c r="J17" s="320">
        <f t="shared" si="3"/>
        <v>31552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31552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27</v>
      </c>
      <c r="E18" s="319"/>
      <c r="F18" s="319"/>
      <c r="G18" s="320">
        <f t="shared" si="2"/>
        <v>27</v>
      </c>
      <c r="H18" s="319"/>
      <c r="I18" s="319"/>
      <c r="J18" s="320">
        <f t="shared" si="3"/>
        <v>27</v>
      </c>
      <c r="K18" s="319">
        <v>2</v>
      </c>
      <c r="L18" s="319">
        <v>1</v>
      </c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24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154629</v>
      </c>
      <c r="E19" s="321">
        <f>SUM(E11:E18)</f>
        <v>7139</v>
      </c>
      <c r="F19" s="321">
        <f>SUM(F11:F18)</f>
        <v>558</v>
      </c>
      <c r="G19" s="320">
        <f t="shared" si="2"/>
        <v>161210</v>
      </c>
      <c r="H19" s="321">
        <f>SUM(H11:H18)</f>
        <v>0</v>
      </c>
      <c r="I19" s="321">
        <f>SUM(I11:I18)</f>
        <v>0</v>
      </c>
      <c r="J19" s="320">
        <f t="shared" si="3"/>
        <v>161210</v>
      </c>
      <c r="K19" s="321">
        <f>SUM(K11:K18)</f>
        <v>76433</v>
      </c>
      <c r="L19" s="321">
        <f>SUM(L11:L18)</f>
        <v>2135</v>
      </c>
      <c r="M19" s="321">
        <f>SUM(M11:M18)</f>
        <v>0</v>
      </c>
      <c r="N19" s="320">
        <f t="shared" si="4"/>
        <v>78568</v>
      </c>
      <c r="O19" s="321">
        <f>SUM(O11:O18)</f>
        <v>0</v>
      </c>
      <c r="P19" s="321">
        <f>SUM(P11:P18)</f>
        <v>0</v>
      </c>
      <c r="Q19" s="320">
        <f t="shared" si="0"/>
        <v>78568</v>
      </c>
      <c r="R19" s="331">
        <f t="shared" si="1"/>
        <v>82642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1088</v>
      </c>
      <c r="E20" s="319"/>
      <c r="F20" s="319"/>
      <c r="G20" s="320">
        <f t="shared" si="2"/>
        <v>1088</v>
      </c>
      <c r="H20" s="319"/>
      <c r="I20" s="319"/>
      <c r="J20" s="320">
        <f t="shared" si="3"/>
        <v>1088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326</v>
      </c>
      <c r="L23" s="319"/>
      <c r="M23" s="319"/>
      <c r="N23" s="320">
        <f t="shared" si="4"/>
        <v>326</v>
      </c>
      <c r="O23" s="319"/>
      <c r="P23" s="319"/>
      <c r="Q23" s="320">
        <f t="shared" si="0"/>
        <v>326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809</v>
      </c>
      <c r="E24" s="319"/>
      <c r="F24" s="319"/>
      <c r="G24" s="320">
        <f t="shared" si="2"/>
        <v>809</v>
      </c>
      <c r="H24" s="319"/>
      <c r="I24" s="319"/>
      <c r="J24" s="320">
        <f t="shared" si="3"/>
        <v>809</v>
      </c>
      <c r="K24" s="319">
        <v>662</v>
      </c>
      <c r="L24" s="319">
        <f>1+41</f>
        <v>42</v>
      </c>
      <c r="M24" s="319"/>
      <c r="N24" s="320">
        <f t="shared" si="4"/>
        <v>704</v>
      </c>
      <c r="O24" s="319"/>
      <c r="P24" s="319"/>
      <c r="Q24" s="320">
        <f t="shared" si="0"/>
        <v>704</v>
      </c>
      <c r="R24" s="331">
        <f t="shared" si="1"/>
        <v>105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1139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1139</v>
      </c>
      <c r="H27" s="323">
        <f t="shared" si="5"/>
        <v>0</v>
      </c>
      <c r="I27" s="323">
        <f t="shared" si="5"/>
        <v>0</v>
      </c>
      <c r="J27" s="324">
        <f t="shared" si="3"/>
        <v>1139</v>
      </c>
      <c r="K27" s="323">
        <f t="shared" si="5"/>
        <v>988</v>
      </c>
      <c r="L27" s="323">
        <f t="shared" si="5"/>
        <v>42</v>
      </c>
      <c r="M27" s="323">
        <f t="shared" si="5"/>
        <v>0</v>
      </c>
      <c r="N27" s="324">
        <f t="shared" si="4"/>
        <v>1030</v>
      </c>
      <c r="O27" s="323">
        <f t="shared" si="5"/>
        <v>0</v>
      </c>
      <c r="P27" s="323">
        <f t="shared" si="5"/>
        <v>0</v>
      </c>
      <c r="Q27" s="324">
        <f t="shared" si="0"/>
        <v>1030</v>
      </c>
      <c r="R27" s="334">
        <f t="shared" si="1"/>
        <v>109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157047</v>
      </c>
      <c r="E42" s="340">
        <f>E19+E20+E21+E27+E40+E41</f>
        <v>7139</v>
      </c>
      <c r="F42" s="340">
        <f aca="true" t="shared" si="11" ref="F42:R42">F19+F20+F21+F27+F40+F41</f>
        <v>558</v>
      </c>
      <c r="G42" s="340">
        <f t="shared" si="11"/>
        <v>163628</v>
      </c>
      <c r="H42" s="340">
        <f t="shared" si="11"/>
        <v>0</v>
      </c>
      <c r="I42" s="340">
        <f t="shared" si="11"/>
        <v>0</v>
      </c>
      <c r="J42" s="340">
        <f t="shared" si="11"/>
        <v>163628</v>
      </c>
      <c r="K42" s="340">
        <f t="shared" si="11"/>
        <v>77421</v>
      </c>
      <c r="L42" s="340">
        <f t="shared" si="11"/>
        <v>2177</v>
      </c>
      <c r="M42" s="340">
        <f t="shared" si="11"/>
        <v>0</v>
      </c>
      <c r="N42" s="340">
        <f t="shared" si="11"/>
        <v>79598</v>
      </c>
      <c r="O42" s="340">
        <f t="shared" si="11"/>
        <v>0</v>
      </c>
      <c r="P42" s="340">
        <f t="shared" si="11"/>
        <v>0</v>
      </c>
      <c r="Q42" s="340">
        <f t="shared" si="11"/>
        <v>79598</v>
      </c>
      <c r="R42" s="341">
        <f t="shared" si="11"/>
        <v>84030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45163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ПАВЛИНА ЛЮБЕНОВА ПЕТРОВА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0"/>
      <c r="C51" s="668"/>
      <c r="D51" s="668"/>
      <c r="E51" s="668"/>
      <c r="F51" s="668"/>
      <c r="G51" s="543"/>
      <c r="H51" s="44"/>
      <c r="I51" s="41"/>
    </row>
    <row r="52" spans="2:9" ht="15.75">
      <c r="B52" s="660"/>
      <c r="C52" s="668"/>
      <c r="D52" s="668"/>
      <c r="E52" s="668"/>
      <c r="F52" s="668"/>
      <c r="G52" s="543"/>
      <c r="H52" s="44"/>
      <c r="I52" s="41"/>
    </row>
    <row r="53" spans="2:9" ht="15.75">
      <c r="B53" s="660"/>
      <c r="C53" s="668"/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90" zoomScaleNormal="90" zoomScaleSheetLayoutView="70" zoomScalePageLayoutView="0" workbookViewId="0" topLeftCell="A31">
      <selection activeCell="C95" sqref="C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523</v>
      </c>
      <c r="D17" s="359"/>
      <c r="E17" s="360">
        <f t="shared" si="0"/>
        <v>523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1636</v>
      </c>
      <c r="D18" s="353">
        <f>+D19+D20</f>
        <v>0</v>
      </c>
      <c r="E18" s="360">
        <f t="shared" si="0"/>
        <v>1636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1636</v>
      </c>
      <c r="D20" s="359"/>
      <c r="E20" s="360">
        <f t="shared" si="0"/>
        <v>1636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2159</v>
      </c>
      <c r="D21" s="431">
        <f>D13+D17+D18</f>
        <v>0</v>
      </c>
      <c r="E21" s="432">
        <f>E13+E17+E18</f>
        <v>2159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4530</v>
      </c>
      <c r="D23" s="434"/>
      <c r="E23" s="433">
        <f t="shared" si="0"/>
        <v>4530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32175-1636</f>
        <v>30539</v>
      </c>
      <c r="D30" s="359">
        <f>32175-1636</f>
        <v>30539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1636</v>
      </c>
      <c r="D31" s="359">
        <v>1636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416</v>
      </c>
      <c r="D33" s="359">
        <v>416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1864</v>
      </c>
      <c r="D34" s="359">
        <v>1864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823</v>
      </c>
      <c r="D35" s="353">
        <f>SUM(D36:D39)</f>
        <v>823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823</v>
      </c>
      <c r="D37" s="359">
        <v>823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7727</v>
      </c>
      <c r="D40" s="353">
        <f>SUM(D41:D44)</f>
        <v>7727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7727</v>
      </c>
      <c r="D44" s="359">
        <v>7727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43005</v>
      </c>
      <c r="D45" s="429">
        <f>D26+D30+D31+D33+D32+D34+D35+D40</f>
        <v>43005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49694</v>
      </c>
      <c r="D46" s="435">
        <f>D45+D23+D21+D11</f>
        <v>43005</v>
      </c>
      <c r="E46" s="436">
        <f>E45+E23+E21+E11</f>
        <v>6689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4741</v>
      </c>
      <c r="D58" s="129">
        <f>D59+D61</f>
        <v>0</v>
      </c>
      <c r="E58" s="127">
        <f t="shared" si="1"/>
        <v>4741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4724</v>
      </c>
      <c r="D59" s="188"/>
      <c r="E59" s="127">
        <f t="shared" si="1"/>
        <v>4724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17</v>
      </c>
      <c r="D61" s="188"/>
      <c r="E61" s="127">
        <f t="shared" si="1"/>
        <v>17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142179</v>
      </c>
      <c r="D64" s="188"/>
      <c r="E64" s="127">
        <f t="shared" si="1"/>
        <v>142179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7552</v>
      </c>
      <c r="D66" s="188"/>
      <c r="E66" s="127">
        <f t="shared" si="1"/>
        <v>7552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158472</v>
      </c>
      <c r="D68" s="426">
        <f>D54+D58+D63+D64+D65+D66</f>
        <v>0</v>
      </c>
      <c r="E68" s="427">
        <f t="shared" si="1"/>
        <v>158472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533</v>
      </c>
      <c r="D73" s="128">
        <f>SUM(D74:D76)</f>
        <v>533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533</v>
      </c>
      <c r="D74" s="188">
        <v>533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690</v>
      </c>
      <c r="D77" s="129">
        <f>D78+D80</f>
        <v>690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687</v>
      </c>
      <c r="D78" s="188">
        <v>687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3</v>
      </c>
      <c r="D80" s="188">
        <v>3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174267</v>
      </c>
      <c r="D87" s="125">
        <f>SUM(D88:D92)+D96</f>
        <v>174267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539</v>
      </c>
      <c r="D88" s="188">
        <v>539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171284-128</f>
        <v>171156</v>
      </c>
      <c r="D89" s="188">
        <f>171284-128</f>
        <v>171156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128</v>
      </c>
      <c r="D90" s="188">
        <v>128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931</v>
      </c>
      <c r="D91" s="188">
        <v>931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1118</v>
      </c>
      <c r="D92" s="129">
        <f>SUM(D93:D95)</f>
        <v>1118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933+20</f>
        <v>953</v>
      </c>
      <c r="D94" s="188">
        <f>933+20</f>
        <v>953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152+13</f>
        <v>165</v>
      </c>
      <c r="D95" s="188">
        <f>152+13</f>
        <v>165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395</v>
      </c>
      <c r="D96" s="188">
        <v>395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6149</v>
      </c>
      <c r="D97" s="188">
        <v>6149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181639</v>
      </c>
      <c r="D98" s="424">
        <f>D87+D82+D77+D73+D97</f>
        <v>181639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340111</v>
      </c>
      <c r="D99" s="418">
        <f>D98+D70+D68</f>
        <v>181639</v>
      </c>
      <c r="E99" s="418">
        <f>E98+E70+E68</f>
        <v>158472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26937</v>
      </c>
      <c r="D106" s="271"/>
      <c r="E106" s="271">
        <v>60</v>
      </c>
      <c r="F106" s="414">
        <f>C106+D106-E106</f>
        <v>26877</v>
      </c>
    </row>
    <row r="107" spans="1:6" ht="16.5" thickBot="1">
      <c r="A107" s="409" t="s">
        <v>752</v>
      </c>
      <c r="B107" s="415" t="s">
        <v>753</v>
      </c>
      <c r="C107" s="416">
        <f>SUM(C104:C106)</f>
        <v>26937</v>
      </c>
      <c r="D107" s="416">
        <f>SUM(D104:D106)</f>
        <v>0</v>
      </c>
      <c r="E107" s="416">
        <f>SUM(E104:E106)</f>
        <v>60</v>
      </c>
      <c r="F107" s="417">
        <f>SUM(F104:F106)</f>
        <v>26877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45163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ПАВЛИНА ЛЮБЕНОВА ПЕТРОВА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964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/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/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/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45163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ПАВЛИНА ЛЮБЕНОВА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434244</v>
      </c>
      <c r="D6" s="644">
        <f aca="true" t="shared" si="0" ref="D6:D15">C6-E6</f>
        <v>0</v>
      </c>
      <c r="E6" s="643">
        <f>'1-Баланс'!G95</f>
        <v>434244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66024</v>
      </c>
      <c r="D7" s="644">
        <f t="shared" si="0"/>
        <v>37675</v>
      </c>
      <c r="E7" s="643">
        <f>'1-Баланс'!G18</f>
        <v>28349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5630</v>
      </c>
      <c r="D8" s="644">
        <f t="shared" si="0"/>
        <v>0</v>
      </c>
      <c r="E8" s="643">
        <f>ABS('2-Отчет за доходите'!C44)-ABS('2-Отчет за доходите'!G44)</f>
        <v>5630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2141</v>
      </c>
      <c r="D9" s="644">
        <f t="shared" si="0"/>
        <v>0</v>
      </c>
      <c r="E9" s="643">
        <f>'3-Отчет за паричния поток'!C45</f>
        <v>2141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3470</v>
      </c>
      <c r="D10" s="644">
        <f t="shared" si="0"/>
        <v>0</v>
      </c>
      <c r="E10" s="643">
        <f>'3-Отчет за паричния поток'!C46</f>
        <v>3470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66024</v>
      </c>
      <c r="D11" s="644">
        <f t="shared" si="0"/>
        <v>0</v>
      </c>
      <c r="E11" s="643">
        <f>'4-Отчет за собствения капитал'!L34</f>
        <v>66024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2023-08-25T10:36:17Z</cp:lastPrinted>
  <dcterms:created xsi:type="dcterms:W3CDTF">2006-09-16T00:00:00Z</dcterms:created>
  <dcterms:modified xsi:type="dcterms:W3CDTF">2023-08-25T11:32:20Z</dcterms:modified>
  <cp:category/>
  <cp:version/>
  <cp:contentType/>
  <cp:contentStatus/>
</cp:coreProperties>
</file>