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30" windowHeight="67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<sst xmlns="http://schemas.openxmlformats.org/spreadsheetml/2006/main" count="4188" uniqueCount="972">
  <si>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</si>
  <si>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</si>
  <si>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</si>
  <si>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</si>
  <si>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</si>
  <si>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</si>
  <si>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</si>
  <si>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</si>
  <si>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</si>
  <si>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</si>
  <si>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</si>
  <si>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</si>
  <si>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</si>
  <si>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</si>
  <si>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</si>
  <si>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</si>
  <si>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</si>
  <si>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</si>
  <si>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</si>
  <si>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</si>
  <si>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</si>
  <si>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</si>
  <si>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</si>
  <si>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</si>
  <si>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</si>
  <si>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</si>
  <si>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</si>
  <si>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</si>
  <si>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</si>
  <si>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</si>
  <si>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</si>
  <si>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</si>
  <si>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</si>
  <si>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</si>
  <si>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</si>
  <si>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</si>
  <si>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</si>
  <si>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</si>
  <si>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</si>
  <si>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</si>
  <si>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</si>
  <si>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</si>
  <si>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</si>
  <si>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</si>
  <si>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</si>
  <si>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</si>
  <si>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</si>
  <si>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</si>
  <si>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</si>
  <si>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</si>
  <si>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</si>
  <si>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</si>
  <si>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</si>
  <si>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</si>
  <si>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</si>
  <si>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</si>
  <si>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</si>
  <si>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</si>
  <si>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</si>
  <si>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</si>
  <si>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</si>
  <si>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</si>
  <si>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</si>
  <si>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</si>
  <si>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</si>
  <si>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</si>
  <si>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</si>
  <si>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</si>
  <si>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</si>
  <si>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</si>
  <si>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</si>
  <si>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</si>
  <si>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</si>
  <si>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</si>
  <si>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</si>
  <si>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</si>
  <si>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</si>
  <si>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</si>
  <si>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</si>
  <si>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</si>
  <si>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</si>
  <si>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</si>
  <si>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</si>
  <si>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</si>
  <si>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</si>
  <si>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</si>
  <si>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</si>
  <si>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</si>
  <si>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</si>
  <si>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</si>
  <si>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</si>
  <si>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</si>
  <si>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</si>
  <si>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</si>
  <si>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</si>
  <si>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</si>
  <si>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</si>
  <si>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</si>
  <si>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</si>
  <si>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</si>
  <si>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</si>
  <si>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</si>
  <si>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</si>
  <si>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</si>
  <si>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</si>
  <si>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</si>
  <si>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</si>
  <si>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</si>
  <si>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</si>
  <si>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</si>
  <si>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</si>
  <si>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</si>
  <si>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</si>
  <si>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</si>
  <si>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</si>
  <si>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</si>
  <si>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</si>
  <si>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</si>
  <si>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</si>
  <si>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</si>
  <si>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</si>
  <si>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</si>
  <si>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</si>
  <si>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</si>
  <si>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</si>
  <si>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</si>
  <si>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</si>
  <si>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</si>
  <si>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</si>
  <si>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</si>
  <si>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</si>
  <si>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</si>
  <si>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</si>
  <si>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</si>
  <si>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</si>
  <si>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</si>
  <si>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</si>
  <si>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</si>
  <si>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</si>
  <si>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</si>
  <si>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</si>
  <si>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</si>
  <si>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</si>
  <si>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</si>
  <si>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</si>
  <si>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</si>
  <si>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</si>
  <si>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</si>
  <si>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</si>
  <si>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</si>
  <si>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</si>
  <si>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</si>
  <si>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</si>
  <si>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</si>
  <si>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</si>
  <si>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</si>
  <si>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</si>
  <si>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</si>
  <si>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</si>
  <si>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</si>
  <si>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</si>
  <si>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</si>
  <si>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</si>
  <si>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</si>
  <si>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</si>
  <si>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</si>
  <si>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</si>
  <si>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</si>
  <si>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</si>
  <si>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</si>
  <si>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</si>
  <si>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</si>
  <si>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</si>
  <si>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</si>
  <si>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</si>
  <si>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</si>
  <si>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</si>
  <si>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</si>
  <si>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</si>
  <si>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</si>
  <si>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</si>
  <si>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</si>
  <si>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</si>
  <si>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</si>
  <si>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</si>
  <si>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</si>
  <si>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</si>
  <si>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</si>
  <si>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</si>
  <si>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</si>
  <si>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</si>
  <si>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</si>
  <si>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</si>
  <si>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</si>
  <si>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</si>
  <si>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</si>
  <si>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</si>
  <si>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</si>
  <si>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</si>
  <si>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</si>
  <si>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</si>
  <si>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</si>
  <si>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</si>
  <si>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</si>
  <si>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</si>
  <si>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</si>
  <si>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</si>
  <si>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</si>
  <si>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</si>
  <si>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</si>
  <si>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</si>
  <si>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</si>
  <si>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</si>
  <si>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</si>
  <si>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</si>
  <si>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</si>
  <si>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</si>
  <si>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</si>
  <si>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</si>
  <si>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</si>
  <si>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</si>
  <si>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</si>
  <si>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</si>
  <si>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</si>
  <si>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</si>
  <si>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</si>
  <si>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</si>
  <si>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</si>
  <si>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</si>
  <si>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</si>
  <si>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</si>
  <si>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</si>
  <si>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</si>
  <si>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</si>
  <si>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</si>
  <si>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</si>
  <si>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</si>
  <si>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</si>
  <si>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</si>
  <si>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</si>
  <si>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</si>
  <si>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</si>
  <si>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</si>
  <si>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</si>
  <si>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</si>
  <si>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</si>
  <si>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</si>
  <si>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</si>
  <si>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</si>
  <si>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</si>
  <si>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</si>
  <si>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</si>
  <si>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</si>
  <si>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</si>
  <si>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</si>
  <si>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</si>
  <si>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</si>
  <si>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</si>
  <si>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</si>
  <si>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</si>
  <si>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</si>
  <si>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</si>
  <si>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</si>
  <si>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</si>
  <si>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</si>
  <si>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</si>
  <si>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</si>
  <si>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</si>
  <si>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</si>
  <si>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</si>
  <si>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</si>
  <si>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</si>
  <si>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</si>
  <si>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</si>
  <si>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</si>
  <si>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</si>
  <si>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</si>
  <si>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</si>
  <si>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</si>
  <si>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</si>
  <si>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</si>
  <si>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</si>
  <si>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</si>
  <si>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</si>
  <si>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</si>
  <si>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</si>
  <si>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</si>
  <si>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</si>
  <si>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</si>
  <si>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</si>
  <si>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</si>
  <si>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</si>
  <si>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</si>
  <si>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</si>
  <si>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</si>
  <si>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</si>
  <si>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</si>
  <si>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</si>
  <si>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</si>
  <si>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</si>
  <si>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</si>
  <si>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</si>
  <si>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</si>
  <si>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</si>
  <si>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</si>
  <si>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</si>
  <si>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</si>
  <si>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</si>
  <si>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</si>
  <si>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</si>
  <si>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</si>
  <si>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</si>
  <si>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</si>
  <si>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</si>
  <si>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</si>
  <si>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</si>
  <si>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</si>
  <si>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</si>
  <si>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</si>
  <si>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</si>
  <si>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</si>
  <si>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</si>
  <si>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</si>
  <si>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</si>
  <si>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</si>
  <si>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</si>
  <si>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</si>
  <si>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</si>
  <si>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</si>
  <si>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</si>
  <si>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</si>
  <si>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</si>
  <si>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</si>
  <si>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</si>
  <si>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</si>
  <si>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</si>
  <si>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</si>
  <si>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</si>
  <si>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</si>
  <si>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</si>
  <si>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</si>
  <si>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</si>
  <si>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</si>
  <si>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</si>
  <si>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</si>
  <si>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</si>
  <si>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</si>
  <si>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</si>
  <si>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</si>
  <si>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</si>
  <si>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</si>
  <si>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</si>
  <si>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</si>
  <si>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</si>
  <si>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</si>
  <si>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</si>
  <si>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</si>
  <si>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</si>
  <si>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</si>
  <si>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</si>
  <si>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</si>
  <si>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</si>
  <si>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</si>
  <si>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</si>
  <si>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</si>
  <si>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</si>
  <si>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</si>
  <si>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</si>
  <si>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</si>
  <si>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</si>
  <si>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</si>
  <si>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</si>
  <si>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</si>
  <si>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</si>
  <si>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</si>
  <si>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</si>
  <si>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</si>
  <si>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</si>
  <si>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</si>
  <si>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</si>
  <si>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</si>
  <si>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</si>
  <si>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</si>
  <si>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</si>
  <si>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</si>
  <si>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</si>
  <si>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</si>
  <si>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</si>
  <si>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</si>
  <si>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</si>
  <si>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</si>
  <si>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</si>
  <si>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</si>
  <si>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</si>
  <si>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</si>
  <si>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</si>
  <si>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</si>
  <si>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</si>
  <si>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</si>
  <si>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</si>
  <si>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</si>
  <si>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</si>
  <si>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</si>
  <si>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</si>
  <si>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</si>
  <si>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</si>
  <si>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</si>
  <si>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</si>
  <si>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</si>
  <si>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</si>
  <si>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</si>
  <si>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</si>
  <si>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</si>
  <si>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</si>
  <si>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</si>
  <si>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</si>
  <si>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</si>
  <si>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</si>
  <si>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</si>
  <si>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</si>
  <si>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</si>
  <si>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</si>
  <si>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</si>
  <si>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</si>
  <si>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</si>
  <si>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</si>
  <si>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</si>
  <si>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</si>
  <si>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</si>
  <si>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</si>
  <si>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</si>
  <si>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</si>
  <si>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</si>
  <si>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</si>
  <si>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</si>
  <si>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</si>
  <si>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</si>
  <si>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</si>
  <si>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</si>
  <si>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</si>
  <si>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</si>
  <si>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</si>
  <si>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</si>
  <si>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</si>
  <si>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</si>
  <si>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</si>
  <si>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</si>
  <si>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</si>
  <si>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</si>
  <si>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</si>
  <si>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</si>
  <si>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</si>
  <si>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</si>
  <si>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</si>
  <si>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</si>
  <si>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</si>
  <si>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</si>
  <si>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</si>
  <si>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</si>
  <si>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</si>
  <si>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</si>
  <si>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</si>
  <si>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</si>
  <si>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</si>
  <si>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</si>
  <si>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</si>
  <si>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</si>
  <si>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</si>
  <si>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</si>
  <si>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</si>
  <si>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</si>
  <si>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</si>
  <si>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</si>
  <si>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</si>
  <si>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</si>
  <si>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</si>
  <si>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</si>
  <si>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</si>
  <si>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</si>
  <si>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</si>
  <si>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</si>
  <si>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</si>
  <si>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</si>
  <si>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</si>
  <si>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</si>
  <si>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</si>
  <si>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</si>
  <si>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</si>
  <si>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</si>
  <si>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</si>
  <si>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</si>
  <si>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</si>
  <si>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</si>
  <si>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</si>
  <si>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</si>
  <si>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</si>
  <si>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</si>
  <si>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</si>
  <si>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</si>
  <si>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</si>
  <si>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</si>
  <si>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</si>
  <si>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</si>
  <si>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</si>
  <si>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</si>
  <si>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</si>
  <si>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</si>
  <si>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</si>
  <si>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</si>
  <si>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</si>
  <si>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</si>
  <si>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</si>
  <si>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</si>
  <si>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</si>
  <si>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</si>
  <si>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</si>
  <si>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</si>
  <si>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</si>
  <si>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</si>
  <si>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</si>
  <si>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</si>
  <si>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</si>
  <si>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</si>
  <si>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</si>
  <si>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</si>
  <si>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</si>
  <si>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</si>
  <si>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</si>
  <si>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</si>
  <si>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</si>
  <si>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</si>
  <si>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</si>
  <si>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</si>
  <si>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</si>
  <si>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</si>
  <si>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</si>
  <si>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</si>
  <si>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</si>
  <si>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</si>
  <si>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</si>
  <si>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</si>
  <si>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</si>
  <si>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</si>
  <si>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</si>
  <si>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</si>
  <si>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</si>
  <si>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</si>
  <si>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</si>
  <si>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</si>
  <si>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</si>
  <si>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</si>
  <si>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</si>
  <si>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</si>
  <si>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</si>
  <si>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</si>
  <si>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</si>
  <si>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</si>
  <si>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</si>
  <si>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</si>
  <si>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</si>
  <si>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</si>
  <si>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</si>
  <si>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</si>
  <si>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</si>
  <si>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</si>
  <si>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</si>
  <si>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</si>
  <si>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</si>
  <si>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</si>
  <si>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</si>
  <si>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</si>
  <si>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</si>
  <si>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</si>
  <si>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</si>
  <si>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</si>
  <si>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</si>
  <si>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</si>
  <si>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</si>
  <si>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</si>
  <si>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</si>
  <si>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</si>
  <si>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</si>
  <si>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</si>
  <si>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</si>
  <si>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</si>
  <si>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</si>
  <si>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</si>
  <si>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</si>
  <si>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</si>
  <si>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</si>
  <si>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</si>
  <si>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</si>
  <si>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</si>
  <si>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</si>
  <si>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</si>
  <si>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</si>
  <si>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</si>
  <si>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</si>
  <si>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</si>
  <si>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</si>
  <si>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</si>
  <si>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</si>
  <si>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</si>
  <si>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</si>
  <si>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</si>
  <si>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</si>
  <si>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</si>
  <si>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</si>
  <si>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</si>
  <si>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</si>
  <si>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</si>
  <si>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</si>
  <si>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</si>
  <si>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</si>
  <si>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</si>
  <si>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</si>
  <si>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</si>
  <si>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</si>
  <si>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</si>
  <si>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</si>
  <si>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</si>
  <si>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</si>
  <si>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</si>
  <si>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</si>
  <si>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</si>
  <si>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</si>
  <si>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</si>
  <si>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</si>
  <si>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</si>
  <si>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</si>
  <si>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</si>
  <si>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</si>
  <si>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</si>
  <si>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</si>
  <si>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</si>
  <si>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</si>
  <si>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</si>
  <si>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</si>
  <si>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</si>
  <si>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</si>
  <si>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</si>
  <si>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</si>
  <si>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</si>
  <si>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</si>
  <si>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</si>
  <si>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</si>
  <si>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</si>
  <si>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</si>
  <si>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</si>
  <si>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</si>
  <si>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</si>
  <si>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</si>
  <si>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</si>
  <si>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</si>
  <si>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</si>
  <si>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</si>
  <si>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</si>
  <si>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</si>
  <si>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</si>
  <si>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</si>
  <si>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</si>
  <si>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</si>
  <si>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</si>
  <si>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</si>
  <si>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</si>
  <si>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</si>
  <si>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</si>
  <si>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</si>
  <si>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</si>
  <si>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</si>
  <si>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</si>
  <si>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</si>
  <si>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</si>
  <si>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</si>
  <si>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</si>
  <si>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</si>
  <si>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</si>
  <si>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</si>
  <si>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</si>
  <si>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</si>
  <si>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</si>
  <si>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</si>
  <si>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</si>
  <si>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</si>
  <si>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</si>
  <si>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</si>
  <si>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</si>
  <si>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</si>
  <si>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</si>
  <si>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</si>
  <si>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</si>
  <si>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</si>
  <si>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</si>
  <si>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</si>
  <si>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</si>
  <si>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</si>
  <si>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</si>
  <si>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</si>
  <si>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</si>
  <si>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</si>
  <si>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</si>
  <si>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</si>
  <si>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</si>
  <si>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</si>
  <si>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</si>
  <si>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</si>
  <si>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</si>
  <si>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</si>
  <si>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</si>
  <si>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</si>
  <si>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</si>
  <si>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</si>
  <si>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</si>
  <si>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</si>
  <si>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</si>
  <si>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</si>
  <si>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</si>
  <si>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</si>
  <si>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</si>
  <si>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</si>
  <si>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</si>
  <si>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</si>
  <si>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</si>
  <si>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</si>
  <si>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</si>
  <si>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</si>
  <si>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</si>
  <si>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</si>
  <si>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</si>
  <si>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</si>
  <si>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</si>
  <si>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</si>
  <si>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</si>
  <si>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</si>
  <si>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</si>
  <si>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</si>
  <si>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</si>
  <si>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</si>
  <si>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</si>
  <si>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</si>
  <si>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</si>
  <si>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</si>
  <si>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</si>
  <si>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</si>
  <si>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</si>
  <si>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</si>
  <si>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</si>
  <si>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</si>
  <si>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</si>
  <si>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</si>
  <si>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</si>
  <si>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</si>
  <si>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</si>
  <si>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</si>
  <si>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</si>
  <si>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</si>
  <si>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</si>
  <si>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</si>
  <si>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</si>
  <si>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</si>
  <si>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</si>
  <si>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</si>
  <si>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</si>
  <si>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</si>
  <si>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</si>
  <si>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</si>
  <si>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</si>
  <si>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</si>
  <si>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</si>
  <si>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</si>
  <si>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</si>
  <si>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</si>
  <si>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</si>
  <si>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</si>
  <si>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</si>
  <si>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</si>
  <si>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</si>
  <si>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</si>
  <si>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</si>
  <si>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</si>
  <si>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</si>
  <si>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</si>
  <si>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</si>
  <si>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</si>
  <si>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</si>
  <si>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</si>
  <si>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</si>
  <si>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</si>
  <si>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</si>
  <si>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</si>
  <si>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</si>
  <si>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</si>
  <si>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</si>
  <si>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</si>
  <si>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</si>
  <si>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</si>
  <si>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</si>
  <si>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</si>
  <si>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</si>
  <si>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</si>
  <si>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</si>
  <si>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</si>
  <si>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</si>
  <si>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</si>
  <si>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</si>
  <si>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</si>
  <si>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</si>
  <si>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</si>
  <si>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</si>
  <si>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</si>
  <si>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</si>
  <si>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</si>
  <si>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</si>
  <si>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</si>
  <si>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</si>
  <si>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</si>
  <si>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</si>
  <si>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</si>
  <si>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</si>
  <si>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</si>
  <si>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</si>
  <si>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</si>
  <si>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</si>
  <si>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</si>
  <si>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</si>
  <si>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</si>
  <si>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</si>
  <si>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</si>
  <si>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</si>
  <si>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</si>
  <si>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</si>
  <si>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</si>
  <si>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</si>
  <si>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</si>
  <si>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</si>
  <si>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</si>
  <si>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</si>
  <si>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</si>
  <si>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</si>
  <si>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</si>
  <si>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</si>
  <si>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</si>
  <si>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</si>
  <si>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</si>
  <si>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</si>
  <si>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</si>
  <si>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</si>
  <si>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</si>
  <si>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</si>
  <si>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</si>
  <si>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</si>
  <si>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</si>
  <si>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</si>
  <si>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</si>
  <si>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</si>
  <si>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</si>
  <si>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</si>
  <si>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</si>
  <si>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</si>
  <si>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</si>
  <si>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</si>
  <si>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</si>
  <si>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</si>
  <si>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</si>
  <si>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</si>
  <si>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</si>
  <si>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</si>
  <si>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</si>
  <si>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</si>
  <si>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</si>
  <si>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</si>
  <si>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</si>
  <si>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</si>
  <si>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</si>
  <si>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</si>
  <si>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</si>
  <si>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</si>
  <si>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</si>
  <si>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</si>
  <si>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</si>
  <si>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</si>
  <si>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</si>
  <si>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</si>
  <si>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</si>
  <si>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</si>
  <si>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</si>
  <si>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</si>
  <si>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</si>
  <si>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</si>
  <si>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</si>
  <si>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</si>
  <si>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</si>
  <si>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</si>
  <si>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</si>
  <si>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</si>
  <si>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</si>
  <si>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</si>
  <si>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</si>
  <si>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</si>
  <si>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</si>
  <si>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</si>
  <si>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</si>
  <si>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</si>
  <si>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</si>
  <si>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</si>
  <si>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</si>
  <si>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</si>
  <si>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</si>
  <si>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</si>
  <si>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</si>
  <si>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</si>
  <si>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</si>
  <si>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</si>
  <si>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</si>
  <si>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</si>
  <si>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</si>
  <si>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</si>
  <si>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</si>
  <si>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</si>
  <si>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</si>
  <si>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</si>
  <si>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</si>
  <si>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</si>
  <si>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</si>
  <si>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</si>
  <si>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</si>
  <si>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</si>
  <si>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</si>
  <si>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</si>
  <si>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</si>
  <si>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</si>
  <si>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</si>
  <si>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</si>
  <si>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</si>
  <si>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</si>
  <si>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</si>
  <si>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</si>
  <si>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</si>
  <si>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</si>
  <si>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</si>
  <si>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</si>
  <si>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</si>
  <si>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</si>
  <si>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</si>
  <si>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</si>
  <si>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</si>
  <si>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</si>
  <si>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</si>
  <si>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</si>
  <si>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</si>
  <si>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</si>
  <si>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</si>
  <si>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</si>
  <si>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</si>
  <si>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</si>
  <si>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</si>
  <si>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</si>
  <si>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</si>
  <si>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</si>
  <si>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</si>
  <si>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</si>
  <si>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</si>
  <si>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</si>
  <si>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</si>
  <si>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</si>
  <si>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</si>
  <si>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</si>
  <si>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</si>
  <si>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</si>
  <si>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</si>
  <si>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082/883-322</t>
  </si>
  <si>
    <t>ТОПЛОФИКАЦИЯ РУСЕ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</si>
</sst>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75" applyNumberFormat="1" applyFont="1" applyFill="1" applyBorder="1" applyAlignment="1" applyProtection="1">
      <alignment/>
      <protection locked="0"/>
    </xf>
    <xf numFmtId="49" fontId="23" fillId="35" borderId="11" xfId="75" applyNumberFormat="1" applyFont="1" applyFill="1" applyBorder="1" applyAlignment="1" applyProtection="1">
      <alignment/>
      <protection locked="0"/>
    </xf>
    <xf numFmtId="49" fontId="23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44377</v>
      </c>
    </row>
    <row r="2" spans="1:27" ht="15.75">
      <c r="A2" s="653" t="s">
        <v>938</v>
      </c>
      <c r="B2" s="648"/>
      <c r="Z2" s="662">
        <v>2</v>
      </c>
      <c r="AA2" s="663">
        <f>IF(ISBLANK(_pdeReportingDate),"",_pdeReportingDate)</f>
        <v>44434</v>
      </c>
    </row>
    <row r="3" spans="1:27" ht="15.75">
      <c r="A3" s="649" t="s">
        <v>935</v>
      </c>
      <c r="B3" s="650"/>
      <c r="Z3" s="662">
        <v>3</v>
      </c>
      <c r="AA3" s="663" t="str">
        <f>IF(ISBLANK(_authorName),"",_authorName)</f>
        <v>ПАВЛИНА ЛЮБЕНОВА ПЕТРОВА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971</v>
      </c>
    </row>
    <row r="15" spans="1:2" ht="15.75">
      <c r="A15" s="10" t="s">
        <v>942</v>
      </c>
      <c r="B15" s="548"/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 t="s">
        <v>966</v>
      </c>
    </row>
    <row r="23" spans="1:2" ht="15.75">
      <c r="A23" s="10" t="s">
        <v>7</v>
      </c>
      <c r="B23" s="664" t="s">
        <v>967</v>
      </c>
    </row>
    <row r="24" spans="1:2" ht="15.75">
      <c r="A24" s="10" t="s">
        <v>892</v>
      </c>
      <c r="B24" s="665"/>
    </row>
    <row r="25" spans="1:2" ht="15.75">
      <c r="A25" s="7" t="s">
        <v>895</v>
      </c>
      <c r="B25" s="666"/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0.003502008904332718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0.001525381641026854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0.0011062421212407062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0.0006412168207575305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1.0033950942204442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1.3395073823492123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0.6123834441742257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0.0005532439690644414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0.0005532439690644414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0.30998645134687075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0.1830997117009643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0.26088324491561715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1.3788858801688564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0.579635152599662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1365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0.01614066620156322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0.11110819672131148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27.528564683663834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4145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10146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15119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13410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101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11719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54652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1086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9465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17688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27153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1874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84963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62367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719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63086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46762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2382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1191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2748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53083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48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48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116217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201180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26455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17853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15018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44308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11783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13750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-1967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129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11912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84569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7499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16622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395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28516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1334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29850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690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80133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5076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51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73683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638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255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430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5681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223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86727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34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86761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201180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20557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1335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2871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3716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916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171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20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6537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36123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1236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486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151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1873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37996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129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37996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129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129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129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38125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36131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210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495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36836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34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1023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232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1255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38125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38125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38125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75072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-76105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-3472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-4388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14607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5714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-6221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-6221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549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-284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265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-242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290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48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48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26461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26461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26455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26455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15018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15018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15018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15018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14850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14850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129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-1106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-283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-823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6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13879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13879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-2790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-2790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823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823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-1967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-1967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84723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84723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129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-283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-283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84569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84569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4145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14140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72725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22444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389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226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9099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123170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1086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642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972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125419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116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7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54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6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2798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2981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2981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7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178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185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185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4145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14140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72834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22451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443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232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11719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2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125966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1086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642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972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128215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4145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14140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72834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22451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443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232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11719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2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125966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1086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642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972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128215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3757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55575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8564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334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68450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325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640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965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69415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237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2147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477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8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2871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2871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7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7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7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3994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57715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9041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342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220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71314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325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640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965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72279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3994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57715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9041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342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220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71314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325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640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965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72279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4145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10146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15119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13410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101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12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11719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54652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1086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55936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9465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17688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17688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27153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1874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40462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6300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535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1847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1191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1191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2748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2748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53083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82110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40462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6300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535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1847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1191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1191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2748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2748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53083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53083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9465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17688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17688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27153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1874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29027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7499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7470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29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16622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395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28516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5076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244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4832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690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686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4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75057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51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73607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76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638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430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430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255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5681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86504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115020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5076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244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4832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690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686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4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75057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51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73607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76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638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430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430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255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5681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86504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86504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7499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7470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29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16622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395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28516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28516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700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700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82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82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618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618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G76" sqref="G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4145</v>
      </c>
      <c r="D12" s="188">
        <v>4145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10146</v>
      </c>
      <c r="D13" s="188">
        <v>10383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15119</v>
      </c>
      <c r="D14" s="188">
        <v>17150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13410</v>
      </c>
      <c r="D15" s="188">
        <v>13880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101</v>
      </c>
      <c r="D16" s="188">
        <v>55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11719</v>
      </c>
      <c r="D18" s="188">
        <v>9099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12</v>
      </c>
      <c r="D19" s="188">
        <v>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54652</v>
      </c>
      <c r="D20" s="567">
        <f>SUM(D12:D19)</f>
        <v>54720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1086</v>
      </c>
      <c r="D21" s="463">
        <v>1086</v>
      </c>
      <c r="E21" s="84" t="s">
        <v>58</v>
      </c>
      <c r="F21" s="87" t="s">
        <v>59</v>
      </c>
      <c r="G21" s="188">
        <v>26455</v>
      </c>
      <c r="H21" s="188">
        <v>26461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17853</v>
      </c>
      <c r="H22" s="583">
        <f>SUM(H23:H25)</f>
        <v>17853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5</v>
      </c>
      <c r="D24" s="188">
        <v>5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2</v>
      </c>
      <c r="D25" s="188">
        <v>2</v>
      </c>
      <c r="E25" s="84" t="s">
        <v>73</v>
      </c>
      <c r="F25" s="87" t="s">
        <v>74</v>
      </c>
      <c r="G25" s="188">
        <v>15018</v>
      </c>
      <c r="H25" s="188">
        <v>15018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44308</v>
      </c>
      <c r="H26" s="567">
        <f>H20+H21+H22</f>
        <v>44314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11783</v>
      </c>
      <c r="H28" s="565">
        <f>SUM(H29:H31)</f>
        <v>8314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13750</v>
      </c>
      <c r="H29" s="188">
        <v>11104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-1967</v>
      </c>
      <c r="H30" s="188">
        <v>-2790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8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129</v>
      </c>
      <c r="H32" s="188">
        <v>3746</v>
      </c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11912</v>
      </c>
      <c r="H34" s="567">
        <f>H28+H32+H33</f>
        <v>12060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84569</v>
      </c>
      <c r="H37" s="569">
        <f>H26+H18+H34</f>
        <v>84723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7499</v>
      </c>
      <c r="H45" s="188">
        <v>6921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16622</v>
      </c>
      <c r="H47" s="188">
        <v>32426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9465</v>
      </c>
      <c r="D49" s="188">
        <v>9735</v>
      </c>
      <c r="E49" s="84" t="s">
        <v>150</v>
      </c>
      <c r="F49" s="87" t="s">
        <v>151</v>
      </c>
      <c r="G49" s="188">
        <v>395</v>
      </c>
      <c r="H49" s="188">
        <v>395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28516</v>
      </c>
      <c r="H50" s="565">
        <f>SUM(H44:H49)</f>
        <v>43742</v>
      </c>
    </row>
    <row r="51" spans="1:8" ht="15.75">
      <c r="A51" s="84" t="s">
        <v>79</v>
      </c>
      <c r="B51" s="86" t="s">
        <v>155</v>
      </c>
      <c r="C51" s="188">
        <v>17688</v>
      </c>
      <c r="D51" s="188">
        <v>43895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27153</v>
      </c>
      <c r="D52" s="567">
        <f>SUM(D48:D51)</f>
        <v>53630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f>1402-68</f>
        <v>1334</v>
      </c>
      <c r="H53" s="187">
        <v>1334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2071-197</f>
        <v>1874</v>
      </c>
      <c r="D55" s="465">
        <f>2071-197</f>
        <v>1874</v>
      </c>
      <c r="E55" s="84" t="s">
        <v>168</v>
      </c>
      <c r="F55" s="89" t="s">
        <v>169</v>
      </c>
      <c r="G55" s="188"/>
      <c r="H55" s="188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84963</v>
      </c>
      <c r="D56" s="571">
        <f>D20+D21+D22+D28+D33+D46+D52+D54+D55</f>
        <v>111508</v>
      </c>
      <c r="E56" s="94" t="s">
        <v>825</v>
      </c>
      <c r="F56" s="93" t="s">
        <v>172</v>
      </c>
      <c r="G56" s="568">
        <f>G50+G52+G53+G54+G55</f>
        <v>29850</v>
      </c>
      <c r="H56" s="569">
        <f>H50+H52+H53+H54+H55</f>
        <v>45076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62367</v>
      </c>
      <c r="D59" s="188">
        <v>48286</v>
      </c>
      <c r="E59" s="192" t="s">
        <v>180</v>
      </c>
      <c r="F59" s="473" t="s">
        <v>181</v>
      </c>
      <c r="G59" s="188">
        <v>690</v>
      </c>
      <c r="H59" s="187">
        <v>686</v>
      </c>
    </row>
    <row r="60" spans="1:13" ht="15.75">
      <c r="A60" s="84" t="s">
        <v>178</v>
      </c>
      <c r="B60" s="86" t="s">
        <v>179</v>
      </c>
      <c r="C60" s="188">
        <v>719</v>
      </c>
      <c r="D60" s="188">
        <v>738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80133</v>
      </c>
      <c r="H61" s="565">
        <f>SUM(H62:H68)</f>
        <v>92091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5076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51</v>
      </c>
      <c r="H63" s="188">
        <v>549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73683</v>
      </c>
      <c r="H64" s="188">
        <v>89757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63086</v>
      </c>
      <c r="D65" s="567">
        <f>SUM(D59:D64)</f>
        <v>49024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638</v>
      </c>
      <c r="H66" s="188">
        <v>755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255</v>
      </c>
      <c r="H67" s="188">
        <v>311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430</v>
      </c>
      <c r="H68" s="188">
        <v>719</v>
      </c>
    </row>
    <row r="69" spans="1:8" ht="15.75">
      <c r="A69" s="84" t="s">
        <v>210</v>
      </c>
      <c r="B69" s="86" t="s">
        <v>211</v>
      </c>
      <c r="C69" s="188">
        <v>46762</v>
      </c>
      <c r="D69" s="188">
        <v>68806</v>
      </c>
      <c r="E69" s="192" t="s">
        <v>79</v>
      </c>
      <c r="F69" s="87" t="s">
        <v>216</v>
      </c>
      <c r="G69" s="188">
        <f>5642+39</f>
        <v>5681</v>
      </c>
      <c r="H69" s="188">
        <v>14281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223</v>
      </c>
      <c r="H70" s="188">
        <v>305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86727</v>
      </c>
      <c r="H71" s="567">
        <f>H59+H60+H61+H69+H70</f>
        <v>107363</v>
      </c>
    </row>
    <row r="72" spans="1:8" ht="15.75">
      <c r="A72" s="84" t="s">
        <v>221</v>
      </c>
      <c r="B72" s="86" t="s">
        <v>222</v>
      </c>
      <c r="C72" s="188">
        <v>2382</v>
      </c>
      <c r="D72" s="188">
        <v>2340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1191</v>
      </c>
      <c r="D73" s="188">
        <v>2122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2748</v>
      </c>
      <c r="D75" s="188">
        <v>3140</v>
      </c>
      <c r="E75" s="472" t="s">
        <v>160</v>
      </c>
      <c r="F75" s="89" t="s">
        <v>233</v>
      </c>
      <c r="G75" s="465">
        <v>34</v>
      </c>
      <c r="H75" s="466">
        <v>68</v>
      </c>
    </row>
    <row r="76" spans="1:8" ht="15.75">
      <c r="A76" s="469" t="s">
        <v>77</v>
      </c>
      <c r="B76" s="90" t="s">
        <v>232</v>
      </c>
      <c r="C76" s="566">
        <f>SUM(C68:C75)</f>
        <v>53083</v>
      </c>
      <c r="D76" s="567">
        <f>SUM(D68:D75)</f>
        <v>76408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86761</v>
      </c>
      <c r="H79" s="569">
        <f>H71+H73+H75+H77</f>
        <v>107431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48</v>
      </c>
      <c r="D88" s="187">
        <v>290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48</v>
      </c>
      <c r="D92" s="567">
        <f>SUM(D88:D91)</f>
        <v>290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116217</v>
      </c>
      <c r="D94" s="571">
        <f>D65+D76+D85+D92+D93</f>
        <v>125722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201180</v>
      </c>
      <c r="D95" s="573">
        <f>D94+D56</f>
        <v>237230</v>
      </c>
      <c r="E95" s="220" t="s">
        <v>916</v>
      </c>
      <c r="F95" s="476" t="s">
        <v>268</v>
      </c>
      <c r="G95" s="572">
        <f>G37+G40+G56+G79</f>
        <v>201180</v>
      </c>
      <c r="H95" s="573">
        <f>H37+H40+H56+H79</f>
        <v>237230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950</v>
      </c>
      <c r="B98" s="668">
        <f>pdeReportingDate</f>
        <v>44434</v>
      </c>
      <c r="C98" s="668"/>
      <c r="D98" s="668"/>
      <c r="E98" s="668"/>
      <c r="F98" s="668"/>
      <c r="G98" s="668"/>
      <c r="H98" s="668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9" t="str">
        <f>authorName</f>
        <v>ПАВЛИНА ЛЮБЕНОВА ПЕТРОВА</v>
      </c>
      <c r="C100" s="669"/>
      <c r="D100" s="669"/>
      <c r="E100" s="669"/>
      <c r="F100" s="669"/>
      <c r="G100" s="669"/>
      <c r="H100" s="669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9"/>
      <c r="B103" s="667" t="s">
        <v>952</v>
      </c>
      <c r="C103" s="667"/>
      <c r="D103" s="667"/>
      <c r="E103" s="667"/>
      <c r="M103" s="92"/>
    </row>
    <row r="104" spans="1:5" ht="21.75" customHeight="1">
      <c r="A104" s="659"/>
      <c r="B104" s="667" t="s">
        <v>952</v>
      </c>
      <c r="C104" s="667"/>
      <c r="D104" s="667"/>
      <c r="E104" s="667"/>
    </row>
    <row r="105" spans="1:13" ht="21.75" customHeight="1">
      <c r="A105" s="659"/>
      <c r="B105" s="667" t="s">
        <v>952</v>
      </c>
      <c r="C105" s="667"/>
      <c r="D105" s="667"/>
      <c r="E105" s="667"/>
      <c r="M105" s="92"/>
    </row>
    <row r="106" spans="1:5" ht="21.75" customHeight="1">
      <c r="A106" s="659"/>
      <c r="B106" s="667" t="s">
        <v>952</v>
      </c>
      <c r="C106" s="667"/>
      <c r="D106" s="667"/>
      <c r="E106" s="667"/>
    </row>
    <row r="107" spans="1:13" ht="21.75" customHeight="1">
      <c r="A107" s="659"/>
      <c r="B107" s="667"/>
      <c r="C107" s="667"/>
      <c r="D107" s="667"/>
      <c r="E107" s="667"/>
      <c r="M107" s="92"/>
    </row>
    <row r="108" spans="1:5" ht="21.75" customHeight="1">
      <c r="A108" s="659"/>
      <c r="B108" s="667"/>
      <c r="C108" s="667"/>
      <c r="D108" s="667"/>
      <c r="E108" s="667"/>
    </row>
    <row r="109" spans="1:13" ht="21.75" customHeight="1">
      <c r="A109" s="659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20557</v>
      </c>
      <c r="D12" s="307">
        <v>24651</v>
      </c>
      <c r="E12" s="185" t="s">
        <v>277</v>
      </c>
      <c r="F12" s="231" t="s">
        <v>278</v>
      </c>
      <c r="G12" s="307">
        <v>36131</v>
      </c>
      <c r="H12" s="307">
        <v>37429</v>
      </c>
    </row>
    <row r="13" spans="1:8" ht="15.75">
      <c r="A13" s="185" t="s">
        <v>279</v>
      </c>
      <c r="B13" s="181" t="s">
        <v>280</v>
      </c>
      <c r="C13" s="307">
        <v>1335</v>
      </c>
      <c r="D13" s="307">
        <v>1423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2871</v>
      </c>
      <c r="D14" s="307">
        <v>2776</v>
      </c>
      <c r="E14" s="236" t="s">
        <v>285</v>
      </c>
      <c r="F14" s="231" t="s">
        <v>286</v>
      </c>
      <c r="G14" s="307">
        <v>210</v>
      </c>
      <c r="H14" s="307">
        <v>197</v>
      </c>
    </row>
    <row r="15" spans="1:8" ht="15.75">
      <c r="A15" s="185" t="s">
        <v>287</v>
      </c>
      <c r="B15" s="181" t="s">
        <v>288</v>
      </c>
      <c r="C15" s="307">
        <v>3716</v>
      </c>
      <c r="D15" s="307">
        <v>3220</v>
      </c>
      <c r="E15" s="236" t="s">
        <v>79</v>
      </c>
      <c r="F15" s="231" t="s">
        <v>289</v>
      </c>
      <c r="G15" s="307">
        <v>495</v>
      </c>
      <c r="H15" s="307">
        <v>748</v>
      </c>
    </row>
    <row r="16" spans="1:8" ht="15.75">
      <c r="A16" s="185" t="s">
        <v>290</v>
      </c>
      <c r="B16" s="181" t="s">
        <v>291</v>
      </c>
      <c r="C16" s="307">
        <v>916</v>
      </c>
      <c r="D16" s="307">
        <v>799</v>
      </c>
      <c r="E16" s="227" t="s">
        <v>52</v>
      </c>
      <c r="F16" s="255" t="s">
        <v>292</v>
      </c>
      <c r="G16" s="597">
        <f>SUM(G12:G15)</f>
        <v>36836</v>
      </c>
      <c r="H16" s="598">
        <f>SUM(H12:H15)</f>
        <v>38374</v>
      </c>
    </row>
    <row r="17" spans="1:8" ht="31.5">
      <c r="A17" s="185" t="s">
        <v>293</v>
      </c>
      <c r="B17" s="181" t="s">
        <v>294</v>
      </c>
      <c r="C17" s="307">
        <v>171</v>
      </c>
      <c r="D17" s="307">
        <v>34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20</v>
      </c>
      <c r="D18" s="307">
        <v>49</v>
      </c>
      <c r="E18" s="225" t="s">
        <v>297</v>
      </c>
      <c r="F18" s="229" t="s">
        <v>298</v>
      </c>
      <c r="G18" s="608">
        <v>34</v>
      </c>
      <c r="H18" s="608">
        <v>38</v>
      </c>
    </row>
    <row r="19" spans="1:8" ht="15.75">
      <c r="A19" s="185" t="s">
        <v>299</v>
      </c>
      <c r="B19" s="181" t="s">
        <v>300</v>
      </c>
      <c r="C19" s="307">
        <v>6537</v>
      </c>
      <c r="D19" s="307">
        <v>2001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36123</v>
      </c>
      <c r="D22" s="598">
        <f>SUM(D12:D18)+D19</f>
        <v>34953</v>
      </c>
      <c r="E22" s="185" t="s">
        <v>309</v>
      </c>
      <c r="F22" s="228" t="s">
        <v>310</v>
      </c>
      <c r="G22" s="307">
        <v>1023</v>
      </c>
      <c r="H22" s="307">
        <v>1445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1236</v>
      </c>
      <c r="D25" s="307">
        <v>1957</v>
      </c>
      <c r="E25" s="185" t="s">
        <v>318</v>
      </c>
      <c r="F25" s="228" t="s">
        <v>319</v>
      </c>
      <c r="G25" s="307">
        <v>232</v>
      </c>
      <c r="H25" s="307">
        <v>2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486</v>
      </c>
      <c r="D27" s="307">
        <v>23</v>
      </c>
      <c r="E27" s="227" t="s">
        <v>104</v>
      </c>
      <c r="F27" s="229" t="s">
        <v>326</v>
      </c>
      <c r="G27" s="597">
        <f>SUM(G22:G26)</f>
        <v>1255</v>
      </c>
      <c r="H27" s="598">
        <f>SUM(H22:H26)</f>
        <v>1447</v>
      </c>
    </row>
    <row r="28" spans="1:8" ht="15.75">
      <c r="A28" s="185" t="s">
        <v>79</v>
      </c>
      <c r="B28" s="228" t="s">
        <v>327</v>
      </c>
      <c r="C28" s="307">
        <v>151</v>
      </c>
      <c r="D28" s="307">
        <v>885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1873</v>
      </c>
      <c r="D29" s="598">
        <f>SUM(D25:D28)</f>
        <v>2865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37996</v>
      </c>
      <c r="D31" s="604">
        <f>D29+D22</f>
        <v>37818</v>
      </c>
      <c r="E31" s="242" t="s">
        <v>800</v>
      </c>
      <c r="F31" s="257" t="s">
        <v>331</v>
      </c>
      <c r="G31" s="244">
        <f>G16+G18+G27</f>
        <v>38125</v>
      </c>
      <c r="H31" s="245">
        <f>H16+H18+H27</f>
        <v>39859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129</v>
      </c>
      <c r="D33" s="235">
        <f>IF((H31-D31)&gt;0,H31-D31,0)</f>
        <v>2041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7"/>
    </row>
    <row r="36" spans="1:8" ht="16.5" thickBot="1">
      <c r="A36" s="249" t="s">
        <v>344</v>
      </c>
      <c r="B36" s="247" t="s">
        <v>345</v>
      </c>
      <c r="C36" s="605">
        <f>C31-C34+C35</f>
        <v>37996</v>
      </c>
      <c r="D36" s="606">
        <f>D31-D34+D35</f>
        <v>37818</v>
      </c>
      <c r="E36" s="253" t="s">
        <v>346</v>
      </c>
      <c r="F36" s="247" t="s">
        <v>347</v>
      </c>
      <c r="G36" s="258">
        <f>G35-G34+G31</f>
        <v>38125</v>
      </c>
      <c r="H36" s="259">
        <f>H35-H34+H31</f>
        <v>39859</v>
      </c>
    </row>
    <row r="37" spans="1:8" ht="15.75">
      <c r="A37" s="252" t="s">
        <v>348</v>
      </c>
      <c r="B37" s="222" t="s">
        <v>349</v>
      </c>
      <c r="C37" s="603">
        <f>IF((G36-C36)&gt;0,G36-C36,0)</f>
        <v>129</v>
      </c>
      <c r="D37" s="604">
        <f>IF((H36-D36)&gt;0,H36-D36,0)</f>
        <v>2041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129</v>
      </c>
      <c r="D42" s="235">
        <f>+IF((H36-D36-D38)&gt;0,H36-D36-D38,0)</f>
        <v>2041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129</v>
      </c>
      <c r="D44" s="259">
        <f>IF(H42=0,IF(D42-D43&gt;0,D42-D43+H43,0),IF(H42-H43&lt;0,H43-H42+D42,0))</f>
        <v>2041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38125</v>
      </c>
      <c r="D45" s="600">
        <f>D36+D38+D42</f>
        <v>39859</v>
      </c>
      <c r="E45" s="261" t="s">
        <v>373</v>
      </c>
      <c r="F45" s="263" t="s">
        <v>374</v>
      </c>
      <c r="G45" s="599">
        <f>G42+G36</f>
        <v>38125</v>
      </c>
      <c r="H45" s="600">
        <f>H42+H36</f>
        <v>39859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950</v>
      </c>
      <c r="B50" s="668">
        <f>pdeReportingDate</f>
        <v>44434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9" t="str">
        <f>authorName</f>
        <v>ПАВЛИНА ЛЮБЕНОВА ПЕТРОВА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9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59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59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59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59"/>
      <c r="B59" s="667"/>
      <c r="C59" s="667"/>
      <c r="D59" s="667"/>
      <c r="E59" s="667"/>
      <c r="F59" s="543"/>
      <c r="G59" s="44"/>
      <c r="H59" s="41"/>
    </row>
    <row r="60" spans="1:8" ht="15.75">
      <c r="A60" s="659"/>
      <c r="B60" s="667"/>
      <c r="C60" s="667"/>
      <c r="D60" s="667"/>
      <c r="E60" s="667"/>
      <c r="F60" s="543"/>
      <c r="G60" s="44"/>
      <c r="H60" s="41"/>
    </row>
    <row r="61" spans="1:8" ht="15.75">
      <c r="A61" s="659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75072</v>
      </c>
      <c r="D11" s="188">
        <v>44877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-76105</v>
      </c>
      <c r="D12" s="188">
        <v>-56625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-3472</v>
      </c>
      <c r="D14" s="188">
        <v>-3476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-4388</v>
      </c>
      <c r="D15" s="188">
        <v>-3869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14607</v>
      </c>
      <c r="D20" s="188">
        <v>24022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5714</v>
      </c>
      <c r="D21" s="627">
        <f>SUM(D11:D20)</f>
        <v>4929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-6221</v>
      </c>
      <c r="D32" s="188">
        <v>-4906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-6221</v>
      </c>
      <c r="D33" s="627">
        <f>SUM(D23:D32)</f>
        <v>-4906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549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-284</v>
      </c>
      <c r="D42" s="188">
        <v>-54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265</v>
      </c>
      <c r="D43" s="629">
        <f>SUM(D35:D42)</f>
        <v>-54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-242</v>
      </c>
      <c r="D44" s="298">
        <f>D43+D33+D21</f>
        <v>-31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290</v>
      </c>
      <c r="D45" s="300">
        <v>204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48</v>
      </c>
      <c r="D46" s="302">
        <f>D45+D44</f>
        <v>173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48</v>
      </c>
      <c r="D47" s="289">
        <v>173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8">
        <f>pdeReportingDate</f>
        <v>44434</v>
      </c>
      <c r="C54" s="668"/>
      <c r="D54" s="668"/>
      <c r="E54" s="668"/>
      <c r="F54" s="660"/>
      <c r="G54" s="660"/>
      <c r="H54" s="660"/>
      <c r="M54" s="92"/>
    </row>
    <row r="55" spans="1:13" s="41" customFormat="1" ht="15.75">
      <c r="A55" s="657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8" t="s">
        <v>8</v>
      </c>
      <c r="B56" s="669" t="str">
        <f>authorName</f>
        <v>ПАВЛИНА ЛЮБЕНОВА ПЕТРОВА</v>
      </c>
      <c r="C56" s="669"/>
      <c r="D56" s="669"/>
      <c r="E56" s="669"/>
      <c r="F56" s="75"/>
      <c r="G56" s="75"/>
      <c r="H56" s="75"/>
    </row>
    <row r="57" spans="1:8" s="41" customFormat="1" ht="15.75">
      <c r="A57" s="658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8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9"/>
      <c r="B59" s="667" t="s">
        <v>952</v>
      </c>
      <c r="C59" s="667"/>
      <c r="D59" s="667"/>
      <c r="E59" s="667"/>
      <c r="F59" s="543"/>
      <c r="G59" s="44"/>
      <c r="H59" s="41"/>
    </row>
    <row r="60" spans="1:8" ht="15.75">
      <c r="A60" s="659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59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59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59"/>
      <c r="B63" s="667"/>
      <c r="C63" s="667"/>
      <c r="D63" s="667"/>
      <c r="E63" s="667"/>
      <c r="F63" s="543"/>
      <c r="G63" s="44"/>
      <c r="H63" s="41"/>
    </row>
    <row r="64" spans="1:8" ht="15.75">
      <c r="A64" s="659"/>
      <c r="B64" s="667"/>
      <c r="C64" s="667"/>
      <c r="D64" s="667"/>
      <c r="E64" s="667"/>
      <c r="F64" s="543"/>
      <c r="G64" s="44"/>
      <c r="H64" s="41"/>
    </row>
    <row r="65" spans="1:8" ht="15.75">
      <c r="A65" s="659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4" sqref="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26461</v>
      </c>
      <c r="F13" s="553">
        <f>'1-Баланс'!H23</f>
        <v>0</v>
      </c>
      <c r="G13" s="553">
        <f>'1-Баланс'!H24</f>
        <v>2835</v>
      </c>
      <c r="H13" s="554">
        <v>15018</v>
      </c>
      <c r="I13" s="553">
        <f>'1-Баланс'!H29+'1-Баланс'!H32</f>
        <v>14850</v>
      </c>
      <c r="J13" s="553">
        <f>'1-Баланс'!H30+'1-Баланс'!H33</f>
        <v>-2790</v>
      </c>
      <c r="K13" s="554"/>
      <c r="L13" s="553">
        <f>SUM(C13:K13)</f>
        <v>84723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28349</v>
      </c>
      <c r="D17" s="621">
        <f aca="true" t="shared" si="2" ref="D17:M17">D13+D14</f>
        <v>0</v>
      </c>
      <c r="E17" s="621">
        <f t="shared" si="2"/>
        <v>26461</v>
      </c>
      <c r="F17" s="621">
        <f t="shared" si="2"/>
        <v>0</v>
      </c>
      <c r="G17" s="621">
        <f t="shared" si="2"/>
        <v>2835</v>
      </c>
      <c r="H17" s="621">
        <f t="shared" si="2"/>
        <v>15018</v>
      </c>
      <c r="I17" s="621">
        <f t="shared" si="2"/>
        <v>14850</v>
      </c>
      <c r="J17" s="621">
        <f t="shared" si="2"/>
        <v>-2790</v>
      </c>
      <c r="K17" s="621">
        <f t="shared" si="2"/>
        <v>0</v>
      </c>
      <c r="L17" s="553">
        <f t="shared" si="1"/>
        <v>84723</v>
      </c>
      <c r="M17" s="622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129</v>
      </c>
      <c r="J18" s="553">
        <f>+'1-Баланс'!G33</f>
        <v>0</v>
      </c>
      <c r="K18" s="554"/>
      <c r="L18" s="553">
        <f t="shared" si="1"/>
        <v>129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-1106</v>
      </c>
      <c r="J19" s="159">
        <f>J20+J21</f>
        <v>823</v>
      </c>
      <c r="K19" s="159">
        <f t="shared" si="3"/>
        <v>0</v>
      </c>
      <c r="L19" s="553">
        <f t="shared" si="1"/>
        <v>-283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-283</v>
      </c>
      <c r="J20" s="307"/>
      <c r="K20" s="307"/>
      <c r="L20" s="553">
        <f>SUM(C20:K20)</f>
        <v>-283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f>-3746+2640+283</f>
        <v>-823</v>
      </c>
      <c r="J21" s="307">
        <f>2398-1575</f>
        <v>823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-6</v>
      </c>
      <c r="F30" s="307"/>
      <c r="G30" s="307"/>
      <c r="H30" s="307"/>
      <c r="I30" s="307">
        <v>6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28349</v>
      </c>
      <c r="D31" s="621">
        <f aca="true" t="shared" si="6" ref="D31:M31">D19+D22+D23+D26+D30+D29+D17+D18</f>
        <v>0</v>
      </c>
      <c r="E31" s="621">
        <f t="shared" si="6"/>
        <v>26455</v>
      </c>
      <c r="F31" s="621">
        <f t="shared" si="6"/>
        <v>0</v>
      </c>
      <c r="G31" s="621">
        <f t="shared" si="6"/>
        <v>2835</v>
      </c>
      <c r="H31" s="621">
        <f t="shared" si="6"/>
        <v>15018</v>
      </c>
      <c r="I31" s="621">
        <f t="shared" si="6"/>
        <v>13879</v>
      </c>
      <c r="J31" s="621">
        <f t="shared" si="6"/>
        <v>-1967</v>
      </c>
      <c r="K31" s="621">
        <f t="shared" si="6"/>
        <v>0</v>
      </c>
      <c r="L31" s="553">
        <f t="shared" si="1"/>
        <v>84569</v>
      </c>
      <c r="M31" s="622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26455</v>
      </c>
      <c r="F34" s="556">
        <f t="shared" si="7"/>
        <v>0</v>
      </c>
      <c r="G34" s="556">
        <f t="shared" si="7"/>
        <v>2835</v>
      </c>
      <c r="H34" s="556">
        <f t="shared" si="7"/>
        <v>15018</v>
      </c>
      <c r="I34" s="556">
        <f t="shared" si="7"/>
        <v>13879</v>
      </c>
      <c r="J34" s="556">
        <f t="shared" si="7"/>
        <v>-1967</v>
      </c>
      <c r="K34" s="556">
        <f t="shared" si="7"/>
        <v>0</v>
      </c>
      <c r="L34" s="619">
        <f t="shared" si="1"/>
        <v>84569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950</v>
      </c>
      <c r="B38" s="668">
        <f>pdeReportingDate</f>
        <v>44434</v>
      </c>
      <c r="C38" s="668"/>
      <c r="D38" s="668"/>
      <c r="E38" s="668"/>
      <c r="F38" s="668"/>
      <c r="G38" s="668"/>
      <c r="H38" s="668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9" t="str">
        <f>authorName</f>
        <v>ПАВЛИНА ЛЮБЕНОВА ПЕТРОВА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9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.75">
      <c r="A44" s="659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59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59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59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59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59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5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4145</v>
      </c>
      <c r="E11" s="319"/>
      <c r="F11" s="319"/>
      <c r="G11" s="320">
        <f>D11+E11-F11</f>
        <v>4145</v>
      </c>
      <c r="H11" s="319"/>
      <c r="I11" s="319"/>
      <c r="J11" s="320">
        <f>G11+H11-I11</f>
        <v>4145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4145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14140</v>
      </c>
      <c r="E12" s="319"/>
      <c r="F12" s="319"/>
      <c r="G12" s="320">
        <f aca="true" t="shared" si="2" ref="G12:G41">D12+E12-F12</f>
        <v>14140</v>
      </c>
      <c r="H12" s="319"/>
      <c r="I12" s="319"/>
      <c r="J12" s="320">
        <f aca="true" t="shared" si="3" ref="J12:J41">G12+H12-I12</f>
        <v>14140</v>
      </c>
      <c r="K12" s="319">
        <v>3757</v>
      </c>
      <c r="L12" s="319">
        <f>154+83</f>
        <v>237</v>
      </c>
      <c r="M12" s="319"/>
      <c r="N12" s="320">
        <f aca="true" t="shared" si="4" ref="N12:N41">K12+L12-M12</f>
        <v>3994</v>
      </c>
      <c r="O12" s="319"/>
      <c r="P12" s="319"/>
      <c r="Q12" s="320">
        <f t="shared" si="0"/>
        <v>3994</v>
      </c>
      <c r="R12" s="331">
        <f t="shared" si="1"/>
        <v>10146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72725</v>
      </c>
      <c r="E13" s="319">
        <f>109+7</f>
        <v>116</v>
      </c>
      <c r="F13" s="319">
        <v>7</v>
      </c>
      <c r="G13" s="320">
        <f t="shared" si="2"/>
        <v>72834</v>
      </c>
      <c r="H13" s="319"/>
      <c r="I13" s="319"/>
      <c r="J13" s="320">
        <f t="shared" si="3"/>
        <v>72834</v>
      </c>
      <c r="K13" s="319">
        <v>55575</v>
      </c>
      <c r="L13" s="319">
        <f>2084+63</f>
        <v>2147</v>
      </c>
      <c r="M13" s="319">
        <v>7</v>
      </c>
      <c r="N13" s="320">
        <f t="shared" si="4"/>
        <v>57715</v>
      </c>
      <c r="O13" s="319"/>
      <c r="P13" s="319"/>
      <c r="Q13" s="320">
        <f t="shared" si="0"/>
        <v>57715</v>
      </c>
      <c r="R13" s="331">
        <f t="shared" si="1"/>
        <v>15119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22444</v>
      </c>
      <c r="E14" s="319">
        <f>4+3</f>
        <v>7</v>
      </c>
      <c r="F14" s="319"/>
      <c r="G14" s="320">
        <f t="shared" si="2"/>
        <v>22451</v>
      </c>
      <c r="H14" s="319"/>
      <c r="I14" s="319"/>
      <c r="J14" s="320">
        <f t="shared" si="3"/>
        <v>22451</v>
      </c>
      <c r="K14" s="319">
        <v>8564</v>
      </c>
      <c r="L14" s="319">
        <f>435+42</f>
        <v>477</v>
      </c>
      <c r="M14" s="319"/>
      <c r="N14" s="320">
        <f t="shared" si="4"/>
        <v>9041</v>
      </c>
      <c r="O14" s="319"/>
      <c r="P14" s="319"/>
      <c r="Q14" s="320">
        <f t="shared" si="0"/>
        <v>9041</v>
      </c>
      <c r="R14" s="331">
        <f t="shared" si="1"/>
        <v>13410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389</v>
      </c>
      <c r="E15" s="319">
        <v>54</v>
      </c>
      <c r="F15" s="319"/>
      <c r="G15" s="320">
        <f t="shared" si="2"/>
        <v>443</v>
      </c>
      <c r="H15" s="319"/>
      <c r="I15" s="319"/>
      <c r="J15" s="320">
        <f t="shared" si="3"/>
        <v>443</v>
      </c>
      <c r="K15" s="319">
        <v>334</v>
      </c>
      <c r="L15" s="319">
        <v>8</v>
      </c>
      <c r="M15" s="319"/>
      <c r="N15" s="320">
        <f t="shared" si="4"/>
        <v>342</v>
      </c>
      <c r="O15" s="319"/>
      <c r="P15" s="319"/>
      <c r="Q15" s="320">
        <f t="shared" si="0"/>
        <v>342</v>
      </c>
      <c r="R15" s="331">
        <f t="shared" si="1"/>
        <v>101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226</v>
      </c>
      <c r="E16" s="319">
        <v>6</v>
      </c>
      <c r="F16" s="319"/>
      <c r="G16" s="320">
        <f t="shared" si="2"/>
        <v>232</v>
      </c>
      <c r="H16" s="319"/>
      <c r="I16" s="319"/>
      <c r="J16" s="320">
        <f t="shared" si="3"/>
        <v>232</v>
      </c>
      <c r="K16" s="319">
        <v>218</v>
      </c>
      <c r="L16" s="319">
        <v>2</v>
      </c>
      <c r="M16" s="319"/>
      <c r="N16" s="320">
        <f t="shared" si="4"/>
        <v>220</v>
      </c>
      <c r="O16" s="319"/>
      <c r="P16" s="319"/>
      <c r="Q16" s="320">
        <f t="shared" si="0"/>
        <v>220</v>
      </c>
      <c r="R16" s="331">
        <f t="shared" si="1"/>
        <v>12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9099</v>
      </c>
      <c r="E17" s="319">
        <f>2793+5</f>
        <v>2798</v>
      </c>
      <c r="F17" s="319">
        <f>173+5</f>
        <v>178</v>
      </c>
      <c r="G17" s="320">
        <f t="shared" si="2"/>
        <v>11719</v>
      </c>
      <c r="H17" s="319"/>
      <c r="I17" s="319"/>
      <c r="J17" s="320">
        <f t="shared" si="3"/>
        <v>11719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11719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/>
      <c r="F18" s="319"/>
      <c r="G18" s="320">
        <f t="shared" si="2"/>
        <v>2</v>
      </c>
      <c r="H18" s="319"/>
      <c r="I18" s="319"/>
      <c r="J18" s="320">
        <f t="shared" si="3"/>
        <v>2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123170</v>
      </c>
      <c r="E19" s="321">
        <f>SUM(E11:E18)</f>
        <v>2981</v>
      </c>
      <c r="F19" s="321">
        <f>SUM(F11:F18)</f>
        <v>185</v>
      </c>
      <c r="G19" s="320">
        <f t="shared" si="2"/>
        <v>125966</v>
      </c>
      <c r="H19" s="321">
        <f>SUM(H11:H18)</f>
        <v>0</v>
      </c>
      <c r="I19" s="321">
        <f>SUM(I11:I18)</f>
        <v>0</v>
      </c>
      <c r="J19" s="320">
        <f t="shared" si="3"/>
        <v>125966</v>
      </c>
      <c r="K19" s="321">
        <f>SUM(K11:K18)</f>
        <v>68450</v>
      </c>
      <c r="L19" s="321">
        <f>SUM(L11:L18)</f>
        <v>2871</v>
      </c>
      <c r="M19" s="321">
        <f>SUM(M11:M18)</f>
        <v>7</v>
      </c>
      <c r="N19" s="320">
        <f t="shared" si="4"/>
        <v>71314</v>
      </c>
      <c r="O19" s="321">
        <f>SUM(O11:O18)</f>
        <v>0</v>
      </c>
      <c r="P19" s="321">
        <f>SUM(P11:P18)</f>
        <v>0</v>
      </c>
      <c r="Q19" s="320">
        <f t="shared" si="0"/>
        <v>71314</v>
      </c>
      <c r="R19" s="331">
        <f t="shared" si="1"/>
        <v>54652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1086</v>
      </c>
      <c r="E20" s="319"/>
      <c r="F20" s="319"/>
      <c r="G20" s="320">
        <f t="shared" si="2"/>
        <v>1086</v>
      </c>
      <c r="H20" s="319"/>
      <c r="I20" s="319"/>
      <c r="J20" s="320">
        <f t="shared" si="3"/>
        <v>1086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325</v>
      </c>
      <c r="L23" s="319"/>
      <c r="M23" s="319"/>
      <c r="N23" s="320">
        <f t="shared" si="4"/>
        <v>325</v>
      </c>
      <c r="O23" s="319"/>
      <c r="P23" s="319"/>
      <c r="Q23" s="320">
        <f t="shared" si="0"/>
        <v>325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642</v>
      </c>
      <c r="E24" s="319"/>
      <c r="F24" s="319"/>
      <c r="G24" s="320">
        <f t="shared" si="2"/>
        <v>642</v>
      </c>
      <c r="H24" s="319"/>
      <c r="I24" s="319"/>
      <c r="J24" s="320">
        <f t="shared" si="3"/>
        <v>642</v>
      </c>
      <c r="K24" s="319">
        <v>640</v>
      </c>
      <c r="L24" s="319"/>
      <c r="M24" s="319"/>
      <c r="N24" s="320">
        <f t="shared" si="4"/>
        <v>640</v>
      </c>
      <c r="O24" s="319"/>
      <c r="P24" s="319"/>
      <c r="Q24" s="320">
        <f t="shared" si="0"/>
        <v>640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972</v>
      </c>
      <c r="H27" s="323">
        <f t="shared" si="5"/>
        <v>0</v>
      </c>
      <c r="I27" s="323">
        <f t="shared" si="5"/>
        <v>0</v>
      </c>
      <c r="J27" s="324">
        <f t="shared" si="3"/>
        <v>972</v>
      </c>
      <c r="K27" s="323">
        <f t="shared" si="5"/>
        <v>965</v>
      </c>
      <c r="L27" s="323">
        <f t="shared" si="5"/>
        <v>0</v>
      </c>
      <c r="M27" s="323">
        <f t="shared" si="5"/>
        <v>0</v>
      </c>
      <c r="N27" s="324">
        <f t="shared" si="4"/>
        <v>965</v>
      </c>
      <c r="O27" s="323">
        <f t="shared" si="5"/>
        <v>0</v>
      </c>
      <c r="P27" s="323">
        <f t="shared" si="5"/>
        <v>0</v>
      </c>
      <c r="Q27" s="324">
        <f t="shared" si="0"/>
        <v>965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125419</v>
      </c>
      <c r="E42" s="340">
        <f>E19+E20+E21+E27+E40+E41</f>
        <v>2981</v>
      </c>
      <c r="F42" s="340">
        <f aca="true" t="shared" si="11" ref="F42:R42">F19+F20+F21+F27+F40+F41</f>
        <v>185</v>
      </c>
      <c r="G42" s="340">
        <f t="shared" si="11"/>
        <v>128215</v>
      </c>
      <c r="H42" s="340">
        <f t="shared" si="11"/>
        <v>0</v>
      </c>
      <c r="I42" s="340">
        <f t="shared" si="11"/>
        <v>0</v>
      </c>
      <c r="J42" s="340">
        <f t="shared" si="11"/>
        <v>128215</v>
      </c>
      <c r="K42" s="340">
        <f t="shared" si="11"/>
        <v>69415</v>
      </c>
      <c r="L42" s="340">
        <f t="shared" si="11"/>
        <v>2871</v>
      </c>
      <c r="M42" s="340">
        <f t="shared" si="11"/>
        <v>7</v>
      </c>
      <c r="N42" s="340">
        <f t="shared" si="11"/>
        <v>72279</v>
      </c>
      <c r="O42" s="340">
        <f t="shared" si="11"/>
        <v>0</v>
      </c>
      <c r="P42" s="340">
        <f t="shared" si="11"/>
        <v>0</v>
      </c>
      <c r="Q42" s="340">
        <f t="shared" si="11"/>
        <v>72279</v>
      </c>
      <c r="R42" s="341">
        <f t="shared" si="11"/>
        <v>55936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950</v>
      </c>
      <c r="C45" s="668">
        <f>pdeReportingDate</f>
        <v>44434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9" t="str">
        <f>authorName</f>
        <v>ПАВЛИНА ЛЮБЕНОВА ПЕТРОВА</v>
      </c>
      <c r="D47" s="669"/>
      <c r="E47" s="669"/>
      <c r="F47" s="669"/>
      <c r="G47" s="669"/>
      <c r="H47" s="669"/>
      <c r="I47" s="669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9"/>
      <c r="C50" s="667" t="s">
        <v>952</v>
      </c>
      <c r="D50" s="667"/>
      <c r="E50" s="667"/>
      <c r="F50" s="667"/>
      <c r="G50" s="543"/>
      <c r="H50" s="44"/>
      <c r="I50" s="41"/>
    </row>
    <row r="51" spans="2:9" ht="15.75">
      <c r="B51" s="659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59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59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59"/>
      <c r="C54" s="667"/>
      <c r="D54" s="667"/>
      <c r="E54" s="667"/>
      <c r="F54" s="667"/>
      <c r="G54" s="543"/>
      <c r="H54" s="44"/>
      <c r="I54" s="41"/>
    </row>
    <row r="55" spans="2:9" ht="15.75">
      <c r="B55" s="659"/>
      <c r="C55" s="667"/>
      <c r="D55" s="667"/>
      <c r="E55" s="667"/>
      <c r="F55" s="667"/>
      <c r="G55" s="543"/>
      <c r="H55" s="44"/>
      <c r="I55" s="41"/>
    </row>
    <row r="56" spans="2:9" ht="15.75">
      <c r="B56" s="659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91">
      <selection activeCell="D89" sqref="D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9465</v>
      </c>
      <c r="D17" s="359"/>
      <c r="E17" s="360">
        <f t="shared" si="0"/>
        <v>9465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17688</v>
      </c>
      <c r="D18" s="353">
        <f>+D19+D20</f>
        <v>0</v>
      </c>
      <c r="E18" s="360">
        <f t="shared" si="0"/>
        <v>17688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17688</v>
      </c>
      <c r="D20" s="359"/>
      <c r="E20" s="360">
        <f t="shared" si="0"/>
        <v>17688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27153</v>
      </c>
      <c r="D21" s="431">
        <f>D13+D17+D18</f>
        <v>0</v>
      </c>
      <c r="E21" s="432">
        <f>E13+E17+E18</f>
        <v>27153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1874</v>
      </c>
      <c r="D23" s="434"/>
      <c r="E23" s="433">
        <f t="shared" si="0"/>
        <v>1874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46762-5967-333</f>
        <v>40462</v>
      </c>
      <c r="D30" s="359">
        <f>46762-5967-333</f>
        <v>40462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5967+333</f>
        <v>6300</v>
      </c>
      <c r="D31" s="359">
        <f>5967+333</f>
        <v>6300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535</v>
      </c>
      <c r="D33" s="359">
        <v>535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f>2382-535</f>
        <v>1847</v>
      </c>
      <c r="D34" s="359">
        <f>2382-535</f>
        <v>1847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1191</v>
      </c>
      <c r="D35" s="353">
        <f>SUM(D36:D39)</f>
        <v>1191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1191</v>
      </c>
      <c r="D37" s="359">
        <v>1191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2748</v>
      </c>
      <c r="D40" s="353">
        <f>SUM(D41:D44)</f>
        <v>2748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2748</v>
      </c>
      <c r="D44" s="359">
        <v>2748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53083</v>
      </c>
      <c r="D45" s="429">
        <f>D26+D30+D31+D33+D32+D34+D35+D40</f>
        <v>53083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82110</v>
      </c>
      <c r="D46" s="435">
        <f>D45+D23+D21+D11</f>
        <v>53083</v>
      </c>
      <c r="E46" s="436">
        <f>E45+E23+E21+E11</f>
        <v>29027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7499</v>
      </c>
      <c r="D58" s="129">
        <f>D59+D61</f>
        <v>0</v>
      </c>
      <c r="E58" s="127">
        <f t="shared" si="1"/>
        <v>7499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7470</v>
      </c>
      <c r="D59" s="188"/>
      <c r="E59" s="127">
        <f t="shared" si="1"/>
        <v>7470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29</v>
      </c>
      <c r="D61" s="188"/>
      <c r="E61" s="127">
        <f t="shared" si="1"/>
        <v>29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16622</v>
      </c>
      <c r="D64" s="188"/>
      <c r="E64" s="127">
        <f t="shared" si="1"/>
        <v>16622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395</v>
      </c>
      <c r="D66" s="188"/>
      <c r="E66" s="127">
        <f t="shared" si="1"/>
        <v>395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28516</v>
      </c>
      <c r="D68" s="426">
        <f>D54+D58+D63+D64+D65+D66</f>
        <v>0</v>
      </c>
      <c r="E68" s="427">
        <f t="shared" si="1"/>
        <v>28516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5076</v>
      </c>
      <c r="D73" s="128">
        <f>SUM(D74:D76)</f>
        <v>5076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244</v>
      </c>
      <c r="D75" s="188">
        <v>244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4832</v>
      </c>
      <c r="D76" s="188">
        <v>4832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690</v>
      </c>
      <c r="D77" s="129">
        <f>D78+D80</f>
        <v>690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686</v>
      </c>
      <c r="D78" s="188">
        <v>686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4</v>
      </c>
      <c r="D80" s="188">
        <v>4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75057</v>
      </c>
      <c r="D87" s="125">
        <f>SUM(D88:D92)+D96</f>
        <v>75057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51</v>
      </c>
      <c r="D88" s="188">
        <v>51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73683-76</f>
        <v>73607</v>
      </c>
      <c r="D89" s="188">
        <f>73683-76</f>
        <v>73607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76</v>
      </c>
      <c r="D90" s="188">
        <v>76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638</v>
      </c>
      <c r="D91" s="188">
        <v>638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430</v>
      </c>
      <c r="D92" s="129">
        <f>SUM(D93:D95)</f>
        <v>430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430</v>
      </c>
      <c r="D95" s="188">
        <v>430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255</v>
      </c>
      <c r="D96" s="188">
        <v>255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5681</v>
      </c>
      <c r="D97" s="188">
        <v>5681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86504</v>
      </c>
      <c r="D98" s="424">
        <f>D87+D82+D77+D73+D97</f>
        <v>86504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115020</v>
      </c>
      <c r="D99" s="418">
        <f>D98+D70+D68</f>
        <v>86504</v>
      </c>
      <c r="E99" s="418">
        <f>E98+E70+E68</f>
        <v>28516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700</v>
      </c>
      <c r="D106" s="271"/>
      <c r="E106" s="271">
        <v>82</v>
      </c>
      <c r="F106" s="414">
        <f>C106+D106-E106</f>
        <v>618</v>
      </c>
    </row>
    <row r="107" spans="1:6" ht="16.5" thickBot="1">
      <c r="A107" s="409" t="s">
        <v>752</v>
      </c>
      <c r="B107" s="415" t="s">
        <v>753</v>
      </c>
      <c r="C107" s="416">
        <f>SUM(C104:C106)</f>
        <v>700</v>
      </c>
      <c r="D107" s="416">
        <f>SUM(D104:D106)</f>
        <v>0</v>
      </c>
      <c r="E107" s="416">
        <f>SUM(E104:E106)</f>
        <v>82</v>
      </c>
      <c r="F107" s="417">
        <f>SUM(F104:F106)</f>
        <v>618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8">
        <f>pdeReportingDate</f>
        <v>44434</v>
      </c>
      <c r="C111" s="668"/>
      <c r="D111" s="668"/>
      <c r="E111" s="668"/>
      <c r="F111" s="668"/>
      <c r="G111" s="51"/>
      <c r="H111" s="51"/>
    </row>
    <row r="112" spans="1:8" ht="15.75">
      <c r="A112" s="657"/>
      <c r="B112" s="668"/>
      <c r="C112" s="668"/>
      <c r="D112" s="668"/>
      <c r="E112" s="668"/>
      <c r="F112" s="668"/>
      <c r="G112" s="51"/>
      <c r="H112" s="51"/>
    </row>
    <row r="113" spans="1:8" ht="15.75">
      <c r="A113" s="658" t="s">
        <v>8</v>
      </c>
      <c r="B113" s="669" t="str">
        <f>authorName</f>
        <v>ПАВЛИНА ЛЮБЕНОВА ПЕТРОВА</v>
      </c>
      <c r="C113" s="669"/>
      <c r="D113" s="669"/>
      <c r="E113" s="669"/>
      <c r="F113" s="669"/>
      <c r="G113" s="75"/>
      <c r="H113" s="75"/>
    </row>
    <row r="114" spans="1:8" ht="15.75">
      <c r="A114" s="658"/>
      <c r="B114" s="669"/>
      <c r="C114" s="669"/>
      <c r="D114" s="669"/>
      <c r="E114" s="669"/>
      <c r="F114" s="669"/>
      <c r="G114" s="75"/>
      <c r="H114" s="75"/>
    </row>
    <row r="115" spans="1:8" ht="15.75">
      <c r="A115" s="658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9"/>
      <c r="B116" s="667" t="s">
        <v>952</v>
      </c>
      <c r="C116" s="667"/>
      <c r="D116" s="667"/>
      <c r="E116" s="667"/>
      <c r="F116" s="667"/>
      <c r="G116" s="659"/>
      <c r="H116" s="659"/>
    </row>
    <row r="117" spans="1:8" ht="15.75" customHeight="1">
      <c r="A117" s="659"/>
      <c r="B117" s="667" t="s">
        <v>952</v>
      </c>
      <c r="C117" s="667"/>
      <c r="D117" s="667"/>
      <c r="E117" s="667"/>
      <c r="F117" s="667"/>
      <c r="G117" s="659"/>
      <c r="H117" s="659"/>
    </row>
    <row r="118" spans="1:8" ht="15.75" customHeight="1">
      <c r="A118" s="659"/>
      <c r="B118" s="667" t="s">
        <v>952</v>
      </c>
      <c r="C118" s="667"/>
      <c r="D118" s="667"/>
      <c r="E118" s="667"/>
      <c r="F118" s="667"/>
      <c r="G118" s="659"/>
      <c r="H118" s="659"/>
    </row>
    <row r="119" spans="1:8" ht="15.75" customHeight="1">
      <c r="A119" s="659"/>
      <c r="B119" s="667" t="s">
        <v>952</v>
      </c>
      <c r="C119" s="667"/>
      <c r="D119" s="667"/>
      <c r="E119" s="667"/>
      <c r="F119" s="667"/>
      <c r="G119" s="659"/>
      <c r="H119" s="659"/>
    </row>
    <row r="120" spans="1:8" ht="15.75">
      <c r="A120" s="659"/>
      <c r="B120" s="667"/>
      <c r="C120" s="667"/>
      <c r="D120" s="667"/>
      <c r="E120" s="667"/>
      <c r="F120" s="667"/>
      <c r="G120" s="659"/>
      <c r="H120" s="659"/>
    </row>
    <row r="121" spans="1:8" ht="15.75">
      <c r="A121" s="659"/>
      <c r="B121" s="667"/>
      <c r="C121" s="667"/>
      <c r="D121" s="667"/>
      <c r="E121" s="667"/>
      <c r="F121" s="667"/>
      <c r="G121" s="659"/>
      <c r="H121" s="659"/>
    </row>
    <row r="122" spans="1:8" ht="15.75">
      <c r="A122" s="659"/>
      <c r="B122" s="667"/>
      <c r="C122" s="667"/>
      <c r="D122" s="667"/>
      <c r="E122" s="667"/>
      <c r="F122" s="667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950</v>
      </c>
      <c r="B31" s="668">
        <f>pdeReportingDate</f>
        <v>44434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7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8" t="s">
        <v>8</v>
      </c>
      <c r="B33" s="669" t="str">
        <f>authorName</f>
        <v>ПАВЛИНА ЛЮБЕНОВА ПЕТРОВА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8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8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9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9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9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9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9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9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9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30.06.2021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201180</v>
      </c>
      <c r="D6" s="643">
        <f aca="true" t="shared" si="0" ref="D6:D15">C6-E6</f>
        <v>0</v>
      </c>
      <c r="E6" s="642">
        <f>'1-Баланс'!G95</f>
        <v>201180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84569</v>
      </c>
      <c r="D7" s="643">
        <f t="shared" si="0"/>
        <v>56220</v>
      </c>
      <c r="E7" s="642">
        <f>'1-Баланс'!G18</f>
        <v>28349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129</v>
      </c>
      <c r="D8" s="643">
        <f t="shared" si="0"/>
        <v>0</v>
      </c>
      <c r="E8" s="642">
        <f>ABS('2-Отчет за доходите'!C44)-ABS('2-Отчет за доходите'!G44)</f>
        <v>129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290</v>
      </c>
      <c r="D9" s="643">
        <f t="shared" si="0"/>
        <v>0</v>
      </c>
      <c r="E9" s="642">
        <f>'3-Отчет за паричния поток'!C45</f>
        <v>290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48</v>
      </c>
      <c r="D10" s="643">
        <f t="shared" si="0"/>
        <v>0</v>
      </c>
      <c r="E10" s="642">
        <f>'3-Отчет за паричния поток'!C46</f>
        <v>48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84569</v>
      </c>
      <c r="D11" s="643">
        <f t="shared" si="0"/>
        <v>0</v>
      </c>
      <c r="E11" s="642">
        <f>'4-Отчет за собствения капитал'!L34</f>
        <v>84569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g.nacheva</cp:lastModifiedBy>
  <cp:lastPrinted>2021-08-27T07:52:34Z</cp:lastPrinted>
  <dcterms:created xsi:type="dcterms:W3CDTF">2006-09-16T00:00:00Z</dcterms:created>
  <dcterms:modified xsi:type="dcterms:W3CDTF">2021-08-27T07:52:44Z</dcterms:modified>
  <cp:category/>
  <cp:version/>
  <cp:contentType/>
  <cp:contentStatus/>
</cp:coreProperties>
</file>